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/>
  <mc:AlternateContent xmlns:mc="http://schemas.openxmlformats.org/markup-compatibility/2006">
    <mc:Choice Requires="x15">
      <x15ac:absPath xmlns:x15ac="http://schemas.microsoft.com/office/spreadsheetml/2010/11/ac" url="D:\DISCKET 2\200\PAR\MATERIALES DE CONSTRUCCION (IC-248)\CEMENTO\"/>
    </mc:Choice>
  </mc:AlternateContent>
  <xr:revisionPtr revIDLastSave="0" documentId="13_ncr:1_{DF1501A4-B14C-41EE-AA3F-72A36C3835B8}" xr6:coauthVersionLast="40" xr6:coauthVersionMax="40" xr10:uidLastSave="{00000000-0000-0000-0000-000000000000}"/>
  <bookViews>
    <workbookView xWindow="0" yWindow="0" windowWidth="20490" windowHeight="7455" tabRatio="859" firstSheet="1" activeTab="1" xr2:uid="{00000000-000D-0000-FFFF-FFFF00000000}"/>
  </bookViews>
  <sheets>
    <sheet name="3MP CON CENIZAS (2)" sheetId="10" state="hidden" r:id="rId1"/>
    <sheet name="yesos" sheetId="12" r:id="rId2"/>
    <sheet name="2 MP" sheetId="2" r:id="rId3"/>
    <sheet name="3MP" sheetId="3" r:id="rId4"/>
    <sheet name="GAUSS 2MP" sheetId="7" r:id="rId5"/>
    <sheet name="GAUSS 3MP" sheetId="6" r:id="rId6"/>
    <sheet name="CENIZAS" sheetId="8" r:id="rId7"/>
    <sheet name="3MP CON CENIZAS" sheetId="9" r:id="rId8"/>
    <sheet name="datos para interpretar" sheetId="11" r:id="rId9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7" i="3" l="1"/>
  <c r="E37" i="3"/>
  <c r="D37" i="3"/>
  <c r="AB19" i="3"/>
  <c r="AB18" i="3"/>
  <c r="D9" i="12" l="1"/>
  <c r="D12" i="12" s="1"/>
  <c r="E30" i="12"/>
  <c r="M34" i="12"/>
  <c r="M33" i="12"/>
  <c r="M32" i="12"/>
  <c r="M31" i="12"/>
  <c r="M30" i="12"/>
  <c r="K34" i="12"/>
  <c r="K33" i="12"/>
  <c r="K32" i="12"/>
  <c r="K31" i="12"/>
  <c r="K30" i="12"/>
  <c r="I34" i="12"/>
  <c r="I33" i="12"/>
  <c r="I32" i="12"/>
  <c r="I31" i="12"/>
  <c r="G34" i="12"/>
  <c r="G33" i="12"/>
  <c r="G32" i="12"/>
  <c r="G31" i="12"/>
  <c r="G30" i="12"/>
  <c r="E34" i="12"/>
  <c r="E33" i="12"/>
  <c r="E32" i="12"/>
  <c r="E31" i="12"/>
  <c r="H30" i="12"/>
  <c r="I30" i="12" s="1"/>
  <c r="E38" i="12"/>
  <c r="G38" i="12"/>
  <c r="I38" i="12"/>
  <c r="E39" i="12"/>
  <c r="G39" i="12"/>
  <c r="E40" i="12"/>
  <c r="E44" i="12"/>
  <c r="G44" i="12"/>
  <c r="I44" i="12"/>
  <c r="E45" i="12"/>
  <c r="G45" i="12"/>
  <c r="E56" i="12"/>
  <c r="G56" i="12"/>
  <c r="I56" i="12"/>
  <c r="E57" i="12"/>
  <c r="G57" i="12"/>
  <c r="D66" i="12"/>
  <c r="H66" i="12"/>
  <c r="J67" i="12"/>
  <c r="E70" i="12"/>
  <c r="G70" i="12"/>
  <c r="G76" i="12"/>
  <c r="D84" i="12"/>
  <c r="F84" i="12"/>
  <c r="H84" i="12"/>
  <c r="J85" i="12"/>
  <c r="E88" i="12"/>
  <c r="G88" i="12"/>
  <c r="I90" i="12"/>
  <c r="F92" i="12"/>
  <c r="F93" i="12"/>
  <c r="H10" i="12" l="1"/>
  <c r="G29" i="12"/>
  <c r="I45" i="12" s="1"/>
  <c r="I29" i="12"/>
  <c r="G89" i="12" s="1"/>
  <c r="K29" i="12"/>
  <c r="E71" i="12" s="1"/>
  <c r="M29" i="12"/>
  <c r="E89" i="12" s="1"/>
  <c r="E90" i="12" s="1"/>
  <c r="G92" i="12" s="1"/>
  <c r="E29" i="12"/>
  <c r="I39" i="12" s="1"/>
  <c r="I40" i="12" s="1"/>
  <c r="H4" i="12" s="1"/>
  <c r="G40" i="12"/>
  <c r="E46" i="12" s="1"/>
  <c r="AA17" i="9"/>
  <c r="S17" i="9"/>
  <c r="V15" i="6"/>
  <c r="U15" i="7"/>
  <c r="O20" i="2"/>
  <c r="U15" i="6"/>
  <c r="T15" i="6"/>
  <c r="S15" i="6"/>
  <c r="R15" i="6"/>
  <c r="Q15" i="6"/>
  <c r="P15" i="6"/>
  <c r="O15" i="6"/>
  <c r="N15" i="6"/>
  <c r="M15" i="6"/>
  <c r="L15" i="6"/>
  <c r="K15" i="6"/>
  <c r="J15" i="7"/>
  <c r="G29" i="2"/>
  <c r="T15" i="7"/>
  <c r="S15" i="7"/>
  <c r="R15" i="7"/>
  <c r="Q15" i="7"/>
  <c r="P15" i="7"/>
  <c r="O15" i="7"/>
  <c r="N15" i="7"/>
  <c r="M15" i="7"/>
  <c r="L15" i="7"/>
  <c r="K15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62" i="7"/>
  <c r="D63" i="7"/>
  <c r="D64" i="7"/>
  <c r="D65" i="7"/>
  <c r="D66" i="7"/>
  <c r="D67" i="7"/>
  <c r="D68" i="7"/>
  <c r="D69" i="7"/>
  <c r="D70" i="7"/>
  <c r="D71" i="7"/>
  <c r="D72" i="7"/>
  <c r="D73" i="7"/>
  <c r="D37" i="7"/>
  <c r="D38" i="7"/>
  <c r="D39" i="7"/>
  <c r="D40" i="7"/>
  <c r="D41" i="7"/>
  <c r="D42" i="7"/>
  <c r="D43" i="7"/>
  <c r="D44" i="7"/>
  <c r="D45" i="7"/>
  <c r="D46" i="7"/>
  <c r="D47" i="7"/>
  <c r="D48" i="7"/>
  <c r="H56" i="9"/>
  <c r="I18" i="9"/>
  <c r="D64" i="9" s="1"/>
  <c r="C56" i="9"/>
  <c r="L100" i="10"/>
  <c r="L99" i="10"/>
  <c r="L98" i="10"/>
  <c r="L97" i="10"/>
  <c r="L96" i="10"/>
  <c r="L95" i="10"/>
  <c r="L90" i="10"/>
  <c r="L89" i="10"/>
  <c r="L88" i="10"/>
  <c r="L87" i="10"/>
  <c r="F79" i="10"/>
  <c r="D73" i="10"/>
  <c r="D71" i="10"/>
  <c r="F68" i="10"/>
  <c r="I68" i="10" s="1"/>
  <c r="E68" i="10"/>
  <c r="H68" i="10" s="1"/>
  <c r="D68" i="10"/>
  <c r="G68" i="10" s="1"/>
  <c r="E67" i="10"/>
  <c r="D67" i="10"/>
  <c r="C64" i="10"/>
  <c r="C63" i="10"/>
  <c r="T12" i="10" s="1"/>
  <c r="C62" i="10"/>
  <c r="H57" i="10"/>
  <c r="C56" i="10"/>
  <c r="C55" i="10"/>
  <c r="F54" i="10"/>
  <c r="E54" i="10"/>
  <c r="D54" i="10"/>
  <c r="F53" i="10"/>
  <c r="E53" i="10"/>
  <c r="D53" i="10"/>
  <c r="I36" i="10"/>
  <c r="F36" i="10"/>
  <c r="L25" i="10" s="1"/>
  <c r="E36" i="10"/>
  <c r="K30" i="10" s="1"/>
  <c r="E77" i="10" s="1"/>
  <c r="D36" i="10"/>
  <c r="J30" i="10" s="1"/>
  <c r="D77" i="10" s="1"/>
  <c r="L34" i="10"/>
  <c r="F81" i="10" s="1"/>
  <c r="K34" i="10"/>
  <c r="E81" i="10" s="1"/>
  <c r="J34" i="10"/>
  <c r="D81" i="10" s="1"/>
  <c r="I34" i="10"/>
  <c r="C81" i="10" s="1"/>
  <c r="L33" i="10"/>
  <c r="F80" i="10" s="1"/>
  <c r="K33" i="10"/>
  <c r="E80" i="10" s="1"/>
  <c r="J33" i="10"/>
  <c r="D80" i="10" s="1"/>
  <c r="I33" i="10"/>
  <c r="C80" i="10" s="1"/>
  <c r="L32" i="10"/>
  <c r="K32" i="10"/>
  <c r="E79" i="10" s="1"/>
  <c r="J32" i="10"/>
  <c r="D79" i="10" s="1"/>
  <c r="I32" i="10"/>
  <c r="C79" i="10" s="1"/>
  <c r="V31" i="10"/>
  <c r="L31" i="10"/>
  <c r="F78" i="10" s="1"/>
  <c r="K31" i="10"/>
  <c r="E78" i="10" s="1"/>
  <c r="J31" i="10"/>
  <c r="D78" i="10" s="1"/>
  <c r="I31" i="10"/>
  <c r="C78" i="10" s="1"/>
  <c r="V30" i="10"/>
  <c r="L30" i="10"/>
  <c r="F77" i="10" s="1"/>
  <c r="I30" i="10"/>
  <c r="C77" i="10" s="1"/>
  <c r="V29" i="10"/>
  <c r="L29" i="10"/>
  <c r="F76" i="10" s="1"/>
  <c r="K29" i="10"/>
  <c r="E76" i="10" s="1"/>
  <c r="J29" i="10"/>
  <c r="D76" i="10" s="1"/>
  <c r="I29" i="10"/>
  <c r="C76" i="10" s="1"/>
  <c r="K76" i="10" s="1"/>
  <c r="V19" i="10" s="1"/>
  <c r="L28" i="10"/>
  <c r="F75" i="10" s="1"/>
  <c r="K28" i="10"/>
  <c r="E75" i="10" s="1"/>
  <c r="J28" i="10"/>
  <c r="D75" i="10" s="1"/>
  <c r="I28" i="10"/>
  <c r="C75" i="10" s="1"/>
  <c r="L27" i="10"/>
  <c r="F74" i="10" s="1"/>
  <c r="J27" i="10"/>
  <c r="D74" i="10" s="1"/>
  <c r="I27" i="10"/>
  <c r="C74" i="10" s="1"/>
  <c r="L26" i="10"/>
  <c r="F73" i="10" s="1"/>
  <c r="J26" i="10"/>
  <c r="I26" i="10"/>
  <c r="C73" i="10" s="1"/>
  <c r="U25" i="10"/>
  <c r="J25" i="10"/>
  <c r="D45" i="10" s="1"/>
  <c r="I25" i="10"/>
  <c r="C72" i="10" s="1"/>
  <c r="U24" i="10"/>
  <c r="L24" i="10"/>
  <c r="K24" i="10"/>
  <c r="J24" i="10"/>
  <c r="I24" i="10"/>
  <c r="C71" i="10" s="1"/>
  <c r="U23" i="10"/>
  <c r="L23" i="10"/>
  <c r="I23" i="10"/>
  <c r="C70" i="10" s="1"/>
  <c r="L22" i="10"/>
  <c r="K22" i="10"/>
  <c r="J22" i="10"/>
  <c r="L21" i="10"/>
  <c r="K21" i="10"/>
  <c r="J21" i="10"/>
  <c r="E19" i="10"/>
  <c r="L18" i="10"/>
  <c r="I18" i="10"/>
  <c r="E57" i="10" s="1"/>
  <c r="H18" i="10"/>
  <c r="E18" i="10"/>
  <c r="E17" i="10"/>
  <c r="T13" i="10"/>
  <c r="P13" i="10"/>
  <c r="P12" i="10"/>
  <c r="T11" i="10"/>
  <c r="P11" i="10"/>
  <c r="H18" i="9"/>
  <c r="E19" i="9"/>
  <c r="E18" i="9"/>
  <c r="E17" i="9"/>
  <c r="L100" i="9"/>
  <c r="L99" i="9"/>
  <c r="L98" i="9"/>
  <c r="L97" i="9"/>
  <c r="L96" i="9"/>
  <c r="L95" i="9"/>
  <c r="L90" i="9"/>
  <c r="L89" i="9"/>
  <c r="L88" i="9"/>
  <c r="L87" i="9"/>
  <c r="F68" i="9"/>
  <c r="I68" i="9" s="1"/>
  <c r="E68" i="9"/>
  <c r="H68" i="9" s="1"/>
  <c r="D68" i="9"/>
  <c r="G68" i="9" s="1"/>
  <c r="E67" i="9"/>
  <c r="D67" i="9"/>
  <c r="C64" i="9"/>
  <c r="T13" i="9" s="1"/>
  <c r="C63" i="9"/>
  <c r="C62" i="9"/>
  <c r="T11" i="9" s="1"/>
  <c r="C55" i="9"/>
  <c r="F54" i="9"/>
  <c r="E54" i="9"/>
  <c r="D54" i="9"/>
  <c r="F53" i="9"/>
  <c r="E53" i="9"/>
  <c r="D53" i="9"/>
  <c r="F36" i="9"/>
  <c r="L27" i="9" s="1"/>
  <c r="F74" i="9" s="1"/>
  <c r="E36" i="9"/>
  <c r="K26" i="9" s="1"/>
  <c r="E73" i="9" s="1"/>
  <c r="D36" i="9"/>
  <c r="J23" i="9" s="1"/>
  <c r="L34" i="9"/>
  <c r="F81" i="9" s="1"/>
  <c r="K34" i="9"/>
  <c r="E81" i="9" s="1"/>
  <c r="J34" i="9"/>
  <c r="D81" i="9" s="1"/>
  <c r="I34" i="9"/>
  <c r="C81" i="9" s="1"/>
  <c r="L33" i="9"/>
  <c r="F80" i="9" s="1"/>
  <c r="K33" i="9"/>
  <c r="E80" i="9" s="1"/>
  <c r="J33" i="9"/>
  <c r="D80" i="9" s="1"/>
  <c r="I33" i="9"/>
  <c r="C80" i="9" s="1"/>
  <c r="L32" i="9"/>
  <c r="F79" i="9" s="1"/>
  <c r="K32" i="9"/>
  <c r="E79" i="9" s="1"/>
  <c r="J32" i="9"/>
  <c r="D79" i="9" s="1"/>
  <c r="I32" i="9"/>
  <c r="C79" i="9" s="1"/>
  <c r="V31" i="9"/>
  <c r="L31" i="9"/>
  <c r="F78" i="9" s="1"/>
  <c r="K31" i="9"/>
  <c r="E78" i="9" s="1"/>
  <c r="J31" i="9"/>
  <c r="D78" i="9" s="1"/>
  <c r="I31" i="9"/>
  <c r="C78" i="9" s="1"/>
  <c r="V30" i="9"/>
  <c r="I30" i="9"/>
  <c r="C77" i="9" s="1"/>
  <c r="V29" i="9"/>
  <c r="K29" i="9"/>
  <c r="E76" i="9" s="1"/>
  <c r="I29" i="9"/>
  <c r="C76" i="9" s="1"/>
  <c r="K76" i="9" s="1"/>
  <c r="V19" i="9" s="1"/>
  <c r="I28" i="9"/>
  <c r="C75" i="9" s="1"/>
  <c r="I27" i="9"/>
  <c r="C74" i="9" s="1"/>
  <c r="I26" i="9"/>
  <c r="C73" i="9" s="1"/>
  <c r="U25" i="9"/>
  <c r="I25" i="9"/>
  <c r="C72" i="9" s="1"/>
  <c r="U24" i="9"/>
  <c r="I24" i="9"/>
  <c r="C71" i="9" s="1"/>
  <c r="U23" i="9"/>
  <c r="I23" i="9"/>
  <c r="C70" i="9" s="1"/>
  <c r="L22" i="9"/>
  <c r="K22" i="9"/>
  <c r="J22" i="9"/>
  <c r="L21" i="9"/>
  <c r="K21" i="9"/>
  <c r="J21" i="9"/>
  <c r="L18" i="9"/>
  <c r="P13" i="9"/>
  <c r="T12" i="9"/>
  <c r="P12" i="9"/>
  <c r="P11" i="9"/>
  <c r="K34" i="8"/>
  <c r="J34" i="8"/>
  <c r="J31" i="8"/>
  <c r="K31" i="8"/>
  <c r="O31" i="8"/>
  <c r="J32" i="8"/>
  <c r="K32" i="8"/>
  <c r="O32" i="8"/>
  <c r="J33" i="8"/>
  <c r="K33" i="8"/>
  <c r="O33" i="8"/>
  <c r="J35" i="8"/>
  <c r="K35" i="8"/>
  <c r="O35" i="8"/>
  <c r="J36" i="8"/>
  <c r="K36" i="8"/>
  <c r="O36" i="8"/>
  <c r="J24" i="8"/>
  <c r="K24" i="8"/>
  <c r="O24" i="8"/>
  <c r="J25" i="8"/>
  <c r="K25" i="8"/>
  <c r="O25" i="8"/>
  <c r="J26" i="8"/>
  <c r="K26" i="8"/>
  <c r="O26" i="8"/>
  <c r="J19" i="8"/>
  <c r="D22" i="8"/>
  <c r="D25" i="8"/>
  <c r="D23" i="8"/>
  <c r="D24" i="8"/>
  <c r="D20" i="8"/>
  <c r="E20" i="8"/>
  <c r="F45" i="10" l="1"/>
  <c r="F72" i="10"/>
  <c r="L43" i="10"/>
  <c r="L45" i="10"/>
  <c r="F50" i="10"/>
  <c r="W17" i="9"/>
  <c r="F44" i="10"/>
  <c r="K25" i="10"/>
  <c r="E45" i="10" s="1"/>
  <c r="L47" i="10"/>
  <c r="L49" i="10"/>
  <c r="L51" i="10"/>
  <c r="D57" i="10"/>
  <c r="F71" i="10"/>
  <c r="F89" i="10" s="1"/>
  <c r="P17" i="9"/>
  <c r="T17" i="9"/>
  <c r="X17" i="9"/>
  <c r="L41" i="10"/>
  <c r="J45" i="10"/>
  <c r="J23" i="10"/>
  <c r="K26" i="10"/>
  <c r="E73" i="10" s="1"/>
  <c r="K27" i="10"/>
  <c r="E74" i="10" s="1"/>
  <c r="L42" i="10"/>
  <c r="L44" i="10"/>
  <c r="F56" i="10"/>
  <c r="D72" i="10"/>
  <c r="Q17" i="9"/>
  <c r="U17" i="9"/>
  <c r="Y17" i="9"/>
  <c r="K23" i="10"/>
  <c r="E50" i="10" s="1"/>
  <c r="D43" i="10"/>
  <c r="J43" i="10"/>
  <c r="L46" i="10"/>
  <c r="L48" i="10"/>
  <c r="L50" i="10"/>
  <c r="F70" i="10"/>
  <c r="F88" i="10" s="1"/>
  <c r="R17" i="9"/>
  <c r="V17" i="9"/>
  <c r="Z17" i="9"/>
  <c r="G71" i="12"/>
  <c r="I57" i="12"/>
  <c r="I46" i="12"/>
  <c r="H5" i="12" s="1"/>
  <c r="G77" i="12"/>
  <c r="G46" i="12"/>
  <c r="L30" i="9"/>
  <c r="F77" i="9" s="1"/>
  <c r="E41" i="10"/>
  <c r="F83" i="10"/>
  <c r="E46" i="10"/>
  <c r="E55" i="10" s="1"/>
  <c r="K51" i="10"/>
  <c r="K47" i="10"/>
  <c r="K50" i="10"/>
  <c r="K46" i="10"/>
  <c r="E56" i="10" s="1"/>
  <c r="E49" i="10"/>
  <c r="E71" i="10"/>
  <c r="F87" i="10"/>
  <c r="E72" i="10"/>
  <c r="K45" i="10"/>
  <c r="K36" i="10"/>
  <c r="E47" i="10"/>
  <c r="D89" i="10"/>
  <c r="L36" i="10"/>
  <c r="F41" i="10"/>
  <c r="D42" i="10"/>
  <c r="F43" i="10"/>
  <c r="D44" i="10"/>
  <c r="D46" i="10"/>
  <c r="D55" i="10" s="1"/>
  <c r="F47" i="10"/>
  <c r="D48" i="10"/>
  <c r="F49" i="10"/>
  <c r="D50" i="10"/>
  <c r="F51" i="10"/>
  <c r="F57" i="10"/>
  <c r="J36" i="10"/>
  <c r="D41" i="10"/>
  <c r="F42" i="10"/>
  <c r="F46" i="10"/>
  <c r="F55" i="10" s="1"/>
  <c r="D47" i="10"/>
  <c r="F48" i="10"/>
  <c r="D49" i="10"/>
  <c r="L23" i="9"/>
  <c r="L26" i="9"/>
  <c r="F73" i="9" s="1"/>
  <c r="L28" i="9"/>
  <c r="F75" i="9" s="1"/>
  <c r="L25" i="9"/>
  <c r="L29" i="9"/>
  <c r="F76" i="9" s="1"/>
  <c r="L24" i="9"/>
  <c r="F71" i="9" s="1"/>
  <c r="K28" i="9"/>
  <c r="E75" i="9" s="1"/>
  <c r="K30" i="9"/>
  <c r="E77" i="9" s="1"/>
  <c r="K27" i="9"/>
  <c r="E74" i="9" s="1"/>
  <c r="K23" i="9"/>
  <c r="K24" i="9"/>
  <c r="K25" i="9"/>
  <c r="E72" i="9" s="1"/>
  <c r="F70" i="9"/>
  <c r="D70" i="9"/>
  <c r="J29" i="9"/>
  <c r="D76" i="9" s="1"/>
  <c r="J28" i="9"/>
  <c r="D75" i="9" s="1"/>
  <c r="J27" i="9"/>
  <c r="D74" i="9" s="1"/>
  <c r="J26" i="9"/>
  <c r="D73" i="9" s="1"/>
  <c r="J24" i="9"/>
  <c r="J30" i="9"/>
  <c r="D77" i="9" s="1"/>
  <c r="J25" i="9"/>
  <c r="F44" i="9"/>
  <c r="P13" i="3"/>
  <c r="P12" i="3"/>
  <c r="P11" i="3"/>
  <c r="V29" i="3"/>
  <c r="V30" i="3"/>
  <c r="V31" i="3"/>
  <c r="U23" i="3"/>
  <c r="U24" i="3"/>
  <c r="U25" i="3"/>
  <c r="Q15" i="2"/>
  <c r="Q14" i="2"/>
  <c r="T32" i="2"/>
  <c r="T33" i="2"/>
  <c r="T34" i="2"/>
  <c r="S26" i="2"/>
  <c r="S27" i="2"/>
  <c r="S28" i="2"/>
  <c r="Q28" i="6"/>
  <c r="Q29" i="6"/>
  <c r="Q27" i="6"/>
  <c r="Q22" i="6"/>
  <c r="Q23" i="6"/>
  <c r="Q21" i="6"/>
  <c r="O11" i="6"/>
  <c r="O10" i="6"/>
  <c r="O9" i="6"/>
  <c r="M133" i="6"/>
  <c r="M132" i="6"/>
  <c r="M131" i="6"/>
  <c r="M130" i="6"/>
  <c r="M129" i="6"/>
  <c r="M128" i="6"/>
  <c r="M124" i="6"/>
  <c r="M123" i="6"/>
  <c r="M122" i="6"/>
  <c r="M121" i="6"/>
  <c r="M10" i="7"/>
  <c r="M9" i="7"/>
  <c r="P29" i="7"/>
  <c r="P28" i="7"/>
  <c r="P27" i="7"/>
  <c r="O21" i="7"/>
  <c r="O22" i="7"/>
  <c r="O23" i="7"/>
  <c r="K131" i="7"/>
  <c r="K130" i="7"/>
  <c r="K129" i="7"/>
  <c r="K128" i="7"/>
  <c r="K127" i="7"/>
  <c r="K126" i="7"/>
  <c r="K122" i="7"/>
  <c r="K121" i="7"/>
  <c r="K120" i="7"/>
  <c r="K119" i="7"/>
  <c r="E35" i="7"/>
  <c r="E99" i="7" s="1"/>
  <c r="F35" i="7"/>
  <c r="F99" i="7" s="1"/>
  <c r="E36" i="7"/>
  <c r="R61" i="7" s="1"/>
  <c r="F36" i="7"/>
  <c r="S61" i="7" s="1"/>
  <c r="E42" i="7"/>
  <c r="R67" i="7" s="1"/>
  <c r="E44" i="7"/>
  <c r="F44" i="7"/>
  <c r="F109" i="7" s="1"/>
  <c r="E45" i="7"/>
  <c r="R70" i="7" s="1"/>
  <c r="F45" i="7"/>
  <c r="E46" i="7"/>
  <c r="E111" i="7" s="1"/>
  <c r="F46" i="7"/>
  <c r="S71" i="7" s="1"/>
  <c r="E47" i="7"/>
  <c r="R72" i="7" s="1"/>
  <c r="F47" i="7"/>
  <c r="E48" i="7"/>
  <c r="F48" i="7"/>
  <c r="S73" i="7" s="1"/>
  <c r="E28" i="7"/>
  <c r="E43" i="7" s="1"/>
  <c r="R68" i="7" s="1"/>
  <c r="F28" i="7"/>
  <c r="F39" i="7" s="1"/>
  <c r="G54" i="7"/>
  <c r="G56" i="7" s="1"/>
  <c r="E63" i="7" s="1"/>
  <c r="I54" i="7"/>
  <c r="I56" i="7" s="1"/>
  <c r="F63" i="7" s="1"/>
  <c r="K54" i="7"/>
  <c r="K55" i="7" s="1"/>
  <c r="G62" i="7" s="1"/>
  <c r="M54" i="7"/>
  <c r="M57" i="7" s="1"/>
  <c r="H64" i="7" s="1"/>
  <c r="E75" i="7"/>
  <c r="F75" i="7"/>
  <c r="E76" i="7"/>
  <c r="F76" i="7"/>
  <c r="C90" i="7"/>
  <c r="I90" i="7"/>
  <c r="D96" i="7"/>
  <c r="N9" i="7" s="1"/>
  <c r="D97" i="7"/>
  <c r="N10" i="7" s="1"/>
  <c r="D99" i="7"/>
  <c r="E36" i="6"/>
  <c r="R61" i="6" s="1"/>
  <c r="F36" i="6"/>
  <c r="S61" i="6" s="1"/>
  <c r="G36" i="6"/>
  <c r="T61" i="6" s="1"/>
  <c r="E37" i="6"/>
  <c r="E102" i="6" s="1"/>
  <c r="H102" i="6" s="1"/>
  <c r="F37" i="6"/>
  <c r="F102" i="6" s="1"/>
  <c r="I102" i="6" s="1"/>
  <c r="G37" i="6"/>
  <c r="G102" i="6" s="1"/>
  <c r="J102" i="6" s="1"/>
  <c r="D38" i="6"/>
  <c r="D104" i="6" s="1"/>
  <c r="D39" i="6"/>
  <c r="D105" i="6" s="1"/>
  <c r="D40" i="6"/>
  <c r="D106" i="6" s="1"/>
  <c r="D41" i="6"/>
  <c r="D107" i="6" s="1"/>
  <c r="G41" i="6"/>
  <c r="T65" i="6" s="1"/>
  <c r="D42" i="6"/>
  <c r="D108" i="6" s="1"/>
  <c r="E42" i="6"/>
  <c r="F42" i="6"/>
  <c r="S66" i="6" s="1"/>
  <c r="G42" i="6"/>
  <c r="G108" i="6" s="1"/>
  <c r="D43" i="6"/>
  <c r="D109" i="6" s="1"/>
  <c r="E43" i="6"/>
  <c r="F43" i="6"/>
  <c r="F109" i="6" s="1"/>
  <c r="G43" i="6"/>
  <c r="G109" i="6" s="1"/>
  <c r="D44" i="6"/>
  <c r="D110" i="6" s="1"/>
  <c r="E44" i="6"/>
  <c r="F44" i="6"/>
  <c r="S68" i="6" s="1"/>
  <c r="G44" i="6"/>
  <c r="G110" i="6" s="1"/>
  <c r="D45" i="6"/>
  <c r="D111" i="6" s="1"/>
  <c r="E45" i="6"/>
  <c r="R69" i="6" s="1"/>
  <c r="F45" i="6"/>
  <c r="S69" i="6" s="1"/>
  <c r="G45" i="6"/>
  <c r="G111" i="6" s="1"/>
  <c r="D46" i="6"/>
  <c r="D112" i="6" s="1"/>
  <c r="E46" i="6"/>
  <c r="F46" i="6"/>
  <c r="F112" i="6" s="1"/>
  <c r="G46" i="6"/>
  <c r="T70" i="6" s="1"/>
  <c r="D47" i="6"/>
  <c r="D113" i="6" s="1"/>
  <c r="E47" i="6"/>
  <c r="R71" i="6" s="1"/>
  <c r="F47" i="6"/>
  <c r="S71" i="6" s="1"/>
  <c r="G47" i="6"/>
  <c r="G113" i="6" s="1"/>
  <c r="D48" i="6"/>
  <c r="D114" i="6" s="1"/>
  <c r="E48" i="6"/>
  <c r="E114" i="6" s="1"/>
  <c r="F48" i="6"/>
  <c r="S72" i="6" s="1"/>
  <c r="G48" i="6"/>
  <c r="T72" i="6" s="1"/>
  <c r="D49" i="6"/>
  <c r="D115" i="6" s="1"/>
  <c r="E49" i="6"/>
  <c r="R73" i="6" s="1"/>
  <c r="F49" i="6"/>
  <c r="S73" i="6" s="1"/>
  <c r="G49" i="6"/>
  <c r="G115" i="6" s="1"/>
  <c r="E26" i="6"/>
  <c r="E38" i="6" s="1"/>
  <c r="R62" i="6" s="1"/>
  <c r="F26" i="6"/>
  <c r="F38" i="6" s="1"/>
  <c r="G26" i="6"/>
  <c r="G38" i="6" s="1"/>
  <c r="G104" i="6" s="1"/>
  <c r="G54" i="6"/>
  <c r="G56" i="6" s="1"/>
  <c r="E63" i="6" s="1"/>
  <c r="I54" i="6"/>
  <c r="I55" i="6" s="1"/>
  <c r="F62" i="6" s="1"/>
  <c r="K54" i="6"/>
  <c r="K55" i="6" s="1"/>
  <c r="G62" i="6" s="1"/>
  <c r="M54" i="6"/>
  <c r="M56" i="6" s="1"/>
  <c r="H63" i="6" s="1"/>
  <c r="D62" i="6"/>
  <c r="D63" i="6"/>
  <c r="D64" i="6"/>
  <c r="D65" i="6"/>
  <c r="D66" i="6"/>
  <c r="D67" i="6"/>
  <c r="D68" i="6"/>
  <c r="D69" i="6"/>
  <c r="D70" i="6"/>
  <c r="D71" i="6"/>
  <c r="D72" i="6"/>
  <c r="D73" i="6"/>
  <c r="E75" i="6"/>
  <c r="F75" i="6"/>
  <c r="G75" i="6"/>
  <c r="E76" i="6"/>
  <c r="F76" i="6"/>
  <c r="G76" i="6"/>
  <c r="I90" i="6"/>
  <c r="I91" i="6"/>
  <c r="I92" i="6"/>
  <c r="D97" i="6"/>
  <c r="P9" i="6" s="1"/>
  <c r="D98" i="6"/>
  <c r="P10" i="6" s="1"/>
  <c r="D99" i="6"/>
  <c r="P11" i="6" s="1"/>
  <c r="D117" i="6"/>
  <c r="H19" i="3"/>
  <c r="J21" i="3"/>
  <c r="K21" i="3"/>
  <c r="L21" i="3"/>
  <c r="J22" i="3"/>
  <c r="K22" i="3"/>
  <c r="L22" i="3"/>
  <c r="I23" i="3"/>
  <c r="I24" i="3"/>
  <c r="Q17" i="3" s="1"/>
  <c r="I25" i="3"/>
  <c r="R17" i="3" s="1"/>
  <c r="I26" i="3"/>
  <c r="S17" i="3" s="1"/>
  <c r="I27" i="3"/>
  <c r="T17" i="3" s="1"/>
  <c r="I28" i="3"/>
  <c r="U17" i="3" s="1"/>
  <c r="I29" i="3"/>
  <c r="V17" i="3" s="1"/>
  <c r="I30" i="3"/>
  <c r="W17" i="3" s="1"/>
  <c r="I31" i="3"/>
  <c r="X17" i="3" s="1"/>
  <c r="J31" i="3"/>
  <c r="D78" i="3" s="1"/>
  <c r="K31" i="3"/>
  <c r="E78" i="3" s="1"/>
  <c r="L31" i="3"/>
  <c r="F78" i="3" s="1"/>
  <c r="I32" i="3"/>
  <c r="Y17" i="3" s="1"/>
  <c r="J32" i="3"/>
  <c r="D79" i="3" s="1"/>
  <c r="K32" i="3"/>
  <c r="E79" i="3" s="1"/>
  <c r="L32" i="3"/>
  <c r="F79" i="3" s="1"/>
  <c r="I33" i="3"/>
  <c r="Z17" i="3" s="1"/>
  <c r="J33" i="3"/>
  <c r="D80" i="3" s="1"/>
  <c r="K33" i="3"/>
  <c r="E80" i="3" s="1"/>
  <c r="L33" i="3"/>
  <c r="F80" i="3" s="1"/>
  <c r="I34" i="3"/>
  <c r="AA17" i="3" s="1"/>
  <c r="J34" i="3"/>
  <c r="D81" i="3" s="1"/>
  <c r="K34" i="3"/>
  <c r="E81" i="3" s="1"/>
  <c r="L34" i="3"/>
  <c r="F81" i="3" s="1"/>
  <c r="D36" i="3"/>
  <c r="J28" i="3" s="1"/>
  <c r="D75" i="3" s="1"/>
  <c r="E36" i="3"/>
  <c r="K23" i="3" s="1"/>
  <c r="F36" i="3"/>
  <c r="L23" i="3" s="1"/>
  <c r="D53" i="3"/>
  <c r="E53" i="3"/>
  <c r="F53" i="3"/>
  <c r="D54" i="3"/>
  <c r="E54" i="3"/>
  <c r="F54" i="3"/>
  <c r="C55" i="3"/>
  <c r="C56" i="3"/>
  <c r="C62" i="3"/>
  <c r="T11" i="3" s="1"/>
  <c r="C63" i="3"/>
  <c r="T12" i="3" s="1"/>
  <c r="C64" i="3"/>
  <c r="T13" i="3" s="1"/>
  <c r="D67" i="3"/>
  <c r="E67" i="3"/>
  <c r="D68" i="3"/>
  <c r="G68" i="3" s="1"/>
  <c r="E68" i="3"/>
  <c r="H68" i="3" s="1"/>
  <c r="F68" i="3"/>
  <c r="I68" i="3" s="1"/>
  <c r="C71" i="3"/>
  <c r="L87" i="3"/>
  <c r="L88" i="3"/>
  <c r="L89" i="3"/>
  <c r="L90" i="3"/>
  <c r="L98" i="3"/>
  <c r="L95" i="3"/>
  <c r="L96" i="3"/>
  <c r="L97" i="3"/>
  <c r="L99" i="3"/>
  <c r="L100" i="3"/>
  <c r="D25" i="2"/>
  <c r="H26" i="2"/>
  <c r="I26" i="2"/>
  <c r="H27" i="2"/>
  <c r="I27" i="2"/>
  <c r="G28" i="2"/>
  <c r="C70" i="2"/>
  <c r="G30" i="2"/>
  <c r="G31" i="2"/>
  <c r="G32" i="2"/>
  <c r="R20" i="2" s="1"/>
  <c r="G33" i="2"/>
  <c r="G34" i="2"/>
  <c r="G35" i="2"/>
  <c r="U20" i="2" s="1"/>
  <c r="G36" i="2"/>
  <c r="H36" i="2"/>
  <c r="D77" i="2" s="1"/>
  <c r="I36" i="2"/>
  <c r="E77" i="2" s="1"/>
  <c r="G37" i="2"/>
  <c r="H37" i="2"/>
  <c r="D78" i="2" s="1"/>
  <c r="I37" i="2"/>
  <c r="E78" i="2" s="1"/>
  <c r="G38" i="2"/>
  <c r="H38" i="2"/>
  <c r="D79" i="2" s="1"/>
  <c r="I38" i="2"/>
  <c r="E79" i="2" s="1"/>
  <c r="G39" i="2"/>
  <c r="Y20" i="2" s="1"/>
  <c r="H39" i="2"/>
  <c r="D80" i="2" s="1"/>
  <c r="I39" i="2"/>
  <c r="E80" i="2" s="1"/>
  <c r="D41" i="2"/>
  <c r="D42" i="2" s="1"/>
  <c r="E41" i="2"/>
  <c r="E42" i="2" s="1"/>
  <c r="G41" i="2"/>
  <c r="D54" i="2"/>
  <c r="E54" i="2"/>
  <c r="D55" i="2"/>
  <c r="E55" i="2"/>
  <c r="C56" i="2"/>
  <c r="C62" i="2"/>
  <c r="R14" i="2" s="1"/>
  <c r="C63" i="2"/>
  <c r="R15" i="2" s="1"/>
  <c r="D66" i="2"/>
  <c r="E66" i="2"/>
  <c r="D67" i="2"/>
  <c r="F67" i="2" s="1"/>
  <c r="E67" i="2"/>
  <c r="G67" i="2" s="1"/>
  <c r="C76" i="2"/>
  <c r="C80" i="2"/>
  <c r="J86" i="2"/>
  <c r="J87" i="2"/>
  <c r="J88" i="2"/>
  <c r="J89" i="2"/>
  <c r="J97" i="2"/>
  <c r="J94" i="2"/>
  <c r="J95" i="2"/>
  <c r="J96" i="2"/>
  <c r="J98" i="2"/>
  <c r="J99" i="2"/>
  <c r="H30" i="2" l="1"/>
  <c r="H29" i="2"/>
  <c r="C77" i="2"/>
  <c r="V20" i="2"/>
  <c r="C69" i="2"/>
  <c r="N20" i="2"/>
  <c r="C73" i="2"/>
  <c r="C78" i="2"/>
  <c r="W20" i="2"/>
  <c r="C72" i="2"/>
  <c r="Q20" i="2"/>
  <c r="F100" i="10"/>
  <c r="F90" i="10"/>
  <c r="C79" i="2"/>
  <c r="X20" i="2"/>
  <c r="C75" i="2"/>
  <c r="I75" i="2" s="1"/>
  <c r="T22" i="2" s="1"/>
  <c r="T20" i="2"/>
  <c r="C71" i="2"/>
  <c r="P20" i="2"/>
  <c r="E43" i="10"/>
  <c r="F99" i="10"/>
  <c r="K43" i="10"/>
  <c r="F98" i="10"/>
  <c r="K42" i="10"/>
  <c r="K41" i="10"/>
  <c r="E70" i="10"/>
  <c r="F95" i="10"/>
  <c r="E48" i="10"/>
  <c r="E44" i="10"/>
  <c r="I31" i="2"/>
  <c r="E72" i="2" s="1"/>
  <c r="I29" i="2"/>
  <c r="C74" i="2"/>
  <c r="S20" i="2"/>
  <c r="C70" i="3"/>
  <c r="P17" i="3"/>
  <c r="J41" i="9"/>
  <c r="F97" i="10"/>
  <c r="E51" i="10"/>
  <c r="K44" i="10"/>
  <c r="F96" i="10"/>
  <c r="K48" i="10"/>
  <c r="K49" i="10"/>
  <c r="E42" i="10"/>
  <c r="D51" i="10"/>
  <c r="J41" i="10"/>
  <c r="J51" i="10"/>
  <c r="J47" i="10"/>
  <c r="D70" i="10"/>
  <c r="J50" i="10"/>
  <c r="J48" i="10"/>
  <c r="J46" i="10"/>
  <c r="D56" i="10" s="1"/>
  <c r="D62" i="10" s="1" a="1"/>
  <c r="J42" i="10"/>
  <c r="J49" i="10"/>
  <c r="J44" i="10"/>
  <c r="G55" i="7"/>
  <c r="E62" i="7" s="1"/>
  <c r="H48" i="12"/>
  <c r="H49" i="12" s="1"/>
  <c r="F50" i="12" s="1"/>
  <c r="E54" i="12" s="1"/>
  <c r="C77" i="3"/>
  <c r="C76" i="3"/>
  <c r="K76" i="3" s="1"/>
  <c r="V19" i="3" s="1"/>
  <c r="C73" i="3"/>
  <c r="C72" i="3"/>
  <c r="C75" i="3"/>
  <c r="C81" i="3"/>
  <c r="C80" i="3"/>
  <c r="C79" i="3"/>
  <c r="C78" i="3"/>
  <c r="C74" i="3"/>
  <c r="E112" i="7"/>
  <c r="F43" i="7"/>
  <c r="S68" i="7" s="1"/>
  <c r="D42" i="9"/>
  <c r="K41" i="9"/>
  <c r="L41" i="9"/>
  <c r="L44" i="9"/>
  <c r="F41" i="9"/>
  <c r="D41" i="9"/>
  <c r="E89" i="10"/>
  <c r="E99" i="10"/>
  <c r="E83" i="10"/>
  <c r="E90" i="10"/>
  <c r="E96" i="10"/>
  <c r="E88" i="10"/>
  <c r="E100" i="10"/>
  <c r="E87" i="10"/>
  <c r="F45" i="9"/>
  <c r="L46" i="9"/>
  <c r="F50" i="9"/>
  <c r="F49" i="9"/>
  <c r="F42" i="9"/>
  <c r="L43" i="9"/>
  <c r="F47" i="9"/>
  <c r="F48" i="9"/>
  <c r="L50" i="9"/>
  <c r="L51" i="9"/>
  <c r="L36" i="9"/>
  <c r="L42" i="9"/>
  <c r="F43" i="9"/>
  <c r="L49" i="9"/>
  <c r="F51" i="9"/>
  <c r="L45" i="9"/>
  <c r="F46" i="9"/>
  <c r="H55" i="9" s="1"/>
  <c r="L48" i="9"/>
  <c r="L47" i="9"/>
  <c r="F72" i="9"/>
  <c r="F97" i="9" s="1"/>
  <c r="K48" i="9"/>
  <c r="K47" i="9"/>
  <c r="E48" i="9"/>
  <c r="E42" i="9"/>
  <c r="E49" i="9"/>
  <c r="E51" i="9"/>
  <c r="K50" i="9"/>
  <c r="E43" i="9"/>
  <c r="K51" i="9"/>
  <c r="K36" i="9"/>
  <c r="K44" i="9"/>
  <c r="E44" i="9"/>
  <c r="K46" i="9"/>
  <c r="E70" i="9"/>
  <c r="E41" i="9"/>
  <c r="K49" i="9"/>
  <c r="K45" i="9"/>
  <c r="E50" i="9"/>
  <c r="E46" i="9"/>
  <c r="E55" i="9" s="1"/>
  <c r="E71" i="9"/>
  <c r="E45" i="9"/>
  <c r="K43" i="9"/>
  <c r="E47" i="9"/>
  <c r="K42" i="9"/>
  <c r="D50" i="9"/>
  <c r="J46" i="9"/>
  <c r="F90" i="9"/>
  <c r="J49" i="9"/>
  <c r="D49" i="9"/>
  <c r="J42" i="9"/>
  <c r="D51" i="9"/>
  <c r="D43" i="9"/>
  <c r="J43" i="9"/>
  <c r="D44" i="9"/>
  <c r="D71" i="9"/>
  <c r="J44" i="9"/>
  <c r="D45" i="9"/>
  <c r="D72" i="9"/>
  <c r="J45" i="9"/>
  <c r="J36" i="9"/>
  <c r="D46" i="9"/>
  <c r="D55" i="9" s="1"/>
  <c r="D62" i="9" s="1" a="1"/>
  <c r="J51" i="9"/>
  <c r="J50" i="9"/>
  <c r="J48" i="9"/>
  <c r="E83" i="9"/>
  <c r="D48" i="9"/>
  <c r="J47" i="9"/>
  <c r="D47" i="9"/>
  <c r="E100" i="9"/>
  <c r="C20" i="8"/>
  <c r="K29" i="3"/>
  <c r="E76" i="3" s="1"/>
  <c r="K27" i="3"/>
  <c r="E74" i="3" s="1"/>
  <c r="K30" i="3"/>
  <c r="E77" i="3" s="1"/>
  <c r="K28" i="3"/>
  <c r="E75" i="3" s="1"/>
  <c r="K26" i="3"/>
  <c r="E73" i="3" s="1"/>
  <c r="H33" i="2"/>
  <c r="D74" i="2" s="1"/>
  <c r="H32" i="2"/>
  <c r="D73" i="2" s="1"/>
  <c r="H31" i="2"/>
  <c r="D72" i="2" s="1"/>
  <c r="I28" i="2"/>
  <c r="E69" i="2" s="1"/>
  <c r="H35" i="2"/>
  <c r="D76" i="2" s="1"/>
  <c r="H34" i="2"/>
  <c r="D75" i="2" s="1"/>
  <c r="I32" i="2"/>
  <c r="E73" i="2" s="1"/>
  <c r="H28" i="2"/>
  <c r="E101" i="6"/>
  <c r="T71" i="6"/>
  <c r="G114" i="6"/>
  <c r="T73" i="6"/>
  <c r="G112" i="6"/>
  <c r="T68" i="6"/>
  <c r="T66" i="6"/>
  <c r="G101" i="6"/>
  <c r="T69" i="6"/>
  <c r="T67" i="6"/>
  <c r="F113" i="6"/>
  <c r="F108" i="6"/>
  <c r="S67" i="6"/>
  <c r="K57" i="6"/>
  <c r="G64" i="6" s="1"/>
  <c r="K58" i="6"/>
  <c r="G65" i="6" s="1"/>
  <c r="F101" i="6"/>
  <c r="S70" i="6"/>
  <c r="K56" i="6"/>
  <c r="G63" i="6" s="1"/>
  <c r="E41" i="6"/>
  <c r="R65" i="6" s="1"/>
  <c r="E39" i="6"/>
  <c r="R63" i="6" s="1"/>
  <c r="E40" i="6"/>
  <c r="R64" i="6" s="1"/>
  <c r="F115" i="6"/>
  <c r="F110" i="6"/>
  <c r="M70" i="6"/>
  <c r="K68" i="6"/>
  <c r="J67" i="6"/>
  <c r="I66" i="6"/>
  <c r="F114" i="6"/>
  <c r="F111" i="6"/>
  <c r="I58" i="6"/>
  <c r="F65" i="6" s="1"/>
  <c r="I56" i="6"/>
  <c r="F63" i="6" s="1"/>
  <c r="I57" i="6"/>
  <c r="F64" i="6" s="1"/>
  <c r="G58" i="6"/>
  <c r="E65" i="6" s="1"/>
  <c r="G57" i="6"/>
  <c r="E64" i="6" s="1"/>
  <c r="M55" i="6"/>
  <c r="H62" i="6" s="1"/>
  <c r="M58" i="6"/>
  <c r="H65" i="6" s="1"/>
  <c r="M57" i="6"/>
  <c r="H64" i="6" s="1"/>
  <c r="G55" i="6"/>
  <c r="E62" i="6" s="1"/>
  <c r="E107" i="7"/>
  <c r="F11" i="7"/>
  <c r="F100" i="7"/>
  <c r="H100" i="7" s="1"/>
  <c r="M56" i="7"/>
  <c r="H63" i="7" s="1"/>
  <c r="M55" i="7"/>
  <c r="H62" i="7" s="1"/>
  <c r="E108" i="7"/>
  <c r="S69" i="7"/>
  <c r="I55" i="7"/>
  <c r="F62" i="7" s="1"/>
  <c r="F113" i="7"/>
  <c r="O72" i="7"/>
  <c r="M58" i="7"/>
  <c r="H65" i="7" s="1"/>
  <c r="F41" i="7"/>
  <c r="F106" i="7" s="1"/>
  <c r="F37" i="7"/>
  <c r="F102" i="7" s="1"/>
  <c r="E40" i="7"/>
  <c r="R65" i="7" s="1"/>
  <c r="E39" i="7"/>
  <c r="F40" i="7"/>
  <c r="F105" i="7" s="1"/>
  <c r="K58" i="7"/>
  <c r="G65" i="7" s="1"/>
  <c r="K57" i="7"/>
  <c r="G64" i="7" s="1"/>
  <c r="K56" i="7"/>
  <c r="G63" i="7" s="1"/>
  <c r="F112" i="7"/>
  <c r="I58" i="7"/>
  <c r="F65" i="7" s="1"/>
  <c r="I57" i="7"/>
  <c r="F64" i="7" s="1"/>
  <c r="G58" i="7"/>
  <c r="E65" i="7" s="1"/>
  <c r="G57" i="7"/>
  <c r="E64" i="7" s="1"/>
  <c r="S72" i="7"/>
  <c r="R71" i="7"/>
  <c r="P73" i="6"/>
  <c r="R72" i="6"/>
  <c r="G107" i="6"/>
  <c r="L69" i="6"/>
  <c r="R68" i="6"/>
  <c r="E110" i="7"/>
  <c r="N71" i="7"/>
  <c r="F111" i="7"/>
  <c r="P73" i="7"/>
  <c r="M70" i="7"/>
  <c r="L69" i="7"/>
  <c r="F104" i="7"/>
  <c r="S64" i="7"/>
  <c r="E113" i="7"/>
  <c r="E109" i="7"/>
  <c r="S70" i="7"/>
  <c r="F42" i="7"/>
  <c r="E41" i="7"/>
  <c r="F38" i="7"/>
  <c r="E37" i="7"/>
  <c r="F110" i="7"/>
  <c r="E100" i="7"/>
  <c r="R73" i="7"/>
  <c r="R69" i="7"/>
  <c r="E38" i="7"/>
  <c r="T62" i="6"/>
  <c r="F104" i="6"/>
  <c r="S62" i="6"/>
  <c r="O72" i="6"/>
  <c r="R67" i="6"/>
  <c r="E115" i="6"/>
  <c r="E113" i="6"/>
  <c r="E112" i="6"/>
  <c r="E111" i="6"/>
  <c r="E110" i="6"/>
  <c r="E109" i="6"/>
  <c r="E108" i="6"/>
  <c r="E104" i="6"/>
  <c r="N71" i="6"/>
  <c r="R70" i="6"/>
  <c r="R66" i="6"/>
  <c r="G40" i="6"/>
  <c r="G39" i="6"/>
  <c r="F41" i="6"/>
  <c r="F40" i="6"/>
  <c r="F39" i="6"/>
  <c r="J23" i="3"/>
  <c r="J24" i="3"/>
  <c r="J25" i="3"/>
  <c r="J26" i="3"/>
  <c r="D73" i="3" s="1"/>
  <c r="J27" i="3"/>
  <c r="D74" i="3" s="1"/>
  <c r="J29" i="3"/>
  <c r="D76" i="3" s="1"/>
  <c r="J30" i="3"/>
  <c r="D77" i="3" s="1"/>
  <c r="F70" i="3"/>
  <c r="E70" i="3"/>
  <c r="L30" i="3"/>
  <c r="F77" i="3" s="1"/>
  <c r="L29" i="3"/>
  <c r="F76" i="3" s="1"/>
  <c r="L28" i="3"/>
  <c r="F75" i="3" s="1"/>
  <c r="L27" i="3"/>
  <c r="F74" i="3" s="1"/>
  <c r="L26" i="3"/>
  <c r="F73" i="3" s="1"/>
  <c r="L25" i="3"/>
  <c r="L24" i="3"/>
  <c r="K25" i="3"/>
  <c r="K24" i="3"/>
  <c r="I33" i="2"/>
  <c r="E74" i="2" s="1"/>
  <c r="I34" i="2"/>
  <c r="E75" i="2" s="1"/>
  <c r="I30" i="2"/>
  <c r="I35" i="2"/>
  <c r="E76" i="2" s="1"/>
  <c r="D46" i="2" l="1"/>
  <c r="D71" i="2"/>
  <c r="D69" i="2"/>
  <c r="D52" i="2"/>
  <c r="D95" i="10"/>
  <c r="D83" i="10"/>
  <c r="D98" i="10"/>
  <c r="D88" i="10"/>
  <c r="D87" i="10"/>
  <c r="D90" i="10"/>
  <c r="D99" i="10"/>
  <c r="D100" i="10"/>
  <c r="D97" i="10"/>
  <c r="D96" i="10"/>
  <c r="J51" i="3"/>
  <c r="D51" i="3"/>
  <c r="E98" i="10"/>
  <c r="E95" i="10"/>
  <c r="E97" i="10"/>
  <c r="E107" i="6"/>
  <c r="S62" i="7"/>
  <c r="K18" i="12"/>
  <c r="F9" i="12"/>
  <c r="D62" i="9"/>
  <c r="D63" i="9"/>
  <c r="F108" i="7"/>
  <c r="K68" i="7"/>
  <c r="D96" i="9"/>
  <c r="D64" i="10"/>
  <c r="D62" i="10"/>
  <c r="D63" i="10"/>
  <c r="F88" i="9"/>
  <c r="F100" i="9"/>
  <c r="F83" i="9"/>
  <c r="F95" i="9"/>
  <c r="F96" i="9"/>
  <c r="F98" i="9"/>
  <c r="F99" i="9"/>
  <c r="F87" i="9"/>
  <c r="F89" i="9"/>
  <c r="E99" i="9"/>
  <c r="E87" i="9"/>
  <c r="E88" i="9"/>
  <c r="E98" i="9"/>
  <c r="E89" i="9"/>
  <c r="E95" i="9"/>
  <c r="E96" i="9"/>
  <c r="E97" i="9"/>
  <c r="E90" i="9"/>
  <c r="D83" i="9"/>
  <c r="D100" i="9"/>
  <c r="D87" i="9"/>
  <c r="D95" i="9"/>
  <c r="D88" i="9"/>
  <c r="D89" i="9"/>
  <c r="D97" i="9"/>
  <c r="D99" i="9"/>
  <c r="D98" i="9"/>
  <c r="D90" i="9"/>
  <c r="F51" i="3"/>
  <c r="L51" i="3"/>
  <c r="L42" i="3"/>
  <c r="E48" i="2"/>
  <c r="E106" i="6"/>
  <c r="E77" i="6" a="1"/>
  <c r="E80" i="6" s="1"/>
  <c r="E51" i="6"/>
  <c r="E105" i="6"/>
  <c r="E122" i="6" s="1"/>
  <c r="S65" i="7"/>
  <c r="S66" i="7"/>
  <c r="E50" i="2"/>
  <c r="E105" i="7"/>
  <c r="G100" i="7"/>
  <c r="E104" i="7"/>
  <c r="R64" i="7"/>
  <c r="R62" i="7"/>
  <c r="E102" i="7"/>
  <c r="E50" i="7"/>
  <c r="R63" i="7"/>
  <c r="E103" i="7"/>
  <c r="S63" i="7"/>
  <c r="F103" i="7"/>
  <c r="F121" i="7" s="1"/>
  <c r="J67" i="7"/>
  <c r="S67" i="7"/>
  <c r="F107" i="7"/>
  <c r="F50" i="7"/>
  <c r="I66" i="7"/>
  <c r="E106" i="7"/>
  <c r="R66" i="7"/>
  <c r="F106" i="6"/>
  <c r="S64" i="6"/>
  <c r="F107" i="6"/>
  <c r="S65" i="6"/>
  <c r="T63" i="6"/>
  <c r="G105" i="6"/>
  <c r="F105" i="6"/>
  <c r="S63" i="6"/>
  <c r="T64" i="6"/>
  <c r="G106" i="6"/>
  <c r="G121" i="6" s="1"/>
  <c r="F51" i="6"/>
  <c r="G51" i="6"/>
  <c r="K45" i="3"/>
  <c r="E45" i="3"/>
  <c r="E72" i="3"/>
  <c r="K48" i="3"/>
  <c r="E49" i="3"/>
  <c r="K49" i="3"/>
  <c r="F50" i="3"/>
  <c r="F44" i="3"/>
  <c r="L43" i="3"/>
  <c r="F56" i="3" s="1"/>
  <c r="F43" i="3"/>
  <c r="F71" i="3"/>
  <c r="L44" i="3"/>
  <c r="L50" i="3"/>
  <c r="E46" i="3"/>
  <c r="E55" i="3" s="1"/>
  <c r="K46" i="3"/>
  <c r="E47" i="3"/>
  <c r="K47" i="3"/>
  <c r="F49" i="3"/>
  <c r="L49" i="3"/>
  <c r="F48" i="3"/>
  <c r="D45" i="3"/>
  <c r="D72" i="3"/>
  <c r="J45" i="3"/>
  <c r="L45" i="3"/>
  <c r="F45" i="3"/>
  <c r="F72" i="3"/>
  <c r="L48" i="3"/>
  <c r="K42" i="3"/>
  <c r="K36" i="3"/>
  <c r="F47" i="3"/>
  <c r="L47" i="3"/>
  <c r="F46" i="3"/>
  <c r="F55" i="3" s="1"/>
  <c r="D43" i="3"/>
  <c r="D71" i="3"/>
  <c r="J44" i="3"/>
  <c r="D44" i="3"/>
  <c r="J43" i="3"/>
  <c r="D56" i="3" s="1"/>
  <c r="L46" i="3"/>
  <c r="K43" i="3"/>
  <c r="E56" i="3" s="1"/>
  <c r="E71" i="3"/>
  <c r="E90" i="3" s="1"/>
  <c r="E43" i="3"/>
  <c r="K44" i="3"/>
  <c r="E42" i="3"/>
  <c r="E50" i="3"/>
  <c r="E48" i="3"/>
  <c r="E44" i="3"/>
  <c r="K50" i="3"/>
  <c r="E51" i="3"/>
  <c r="K51" i="3"/>
  <c r="L36" i="3"/>
  <c r="F42" i="3"/>
  <c r="D47" i="3"/>
  <c r="D49" i="3"/>
  <c r="J42" i="3"/>
  <c r="J46" i="3"/>
  <c r="J48" i="3"/>
  <c r="J50" i="3"/>
  <c r="D42" i="3"/>
  <c r="D46" i="3"/>
  <c r="D55" i="3" s="1"/>
  <c r="D48" i="3"/>
  <c r="D50" i="3"/>
  <c r="J36" i="3"/>
  <c r="J49" i="3"/>
  <c r="D70" i="3"/>
  <c r="J47" i="3"/>
  <c r="D48" i="2"/>
  <c r="D50" i="2"/>
  <c r="E43" i="2"/>
  <c r="D44" i="2"/>
  <c r="D43" i="2"/>
  <c r="D45" i="2"/>
  <c r="D47" i="2"/>
  <c r="D49" i="2"/>
  <c r="D51" i="2"/>
  <c r="D70" i="2"/>
  <c r="E52" i="2"/>
  <c r="E46" i="2"/>
  <c r="E71" i="2"/>
  <c r="H41" i="2"/>
  <c r="E44" i="2"/>
  <c r="E70" i="2"/>
  <c r="E87" i="2" s="1"/>
  <c r="E49" i="2"/>
  <c r="E45" i="2"/>
  <c r="E51" i="2"/>
  <c r="E96" i="2"/>
  <c r="I41" i="2"/>
  <c r="E47" i="2"/>
  <c r="E56" i="2" s="1"/>
  <c r="E131" i="6" l="1"/>
  <c r="E124" i="6"/>
  <c r="D65" i="9"/>
  <c r="H69" i="10"/>
  <c r="U12" i="10"/>
  <c r="U11" i="10"/>
  <c r="G69" i="10"/>
  <c r="U13" i="10"/>
  <c r="I69" i="10"/>
  <c r="U11" i="9"/>
  <c r="H69" i="9"/>
  <c r="U13" i="9"/>
  <c r="I69" i="9"/>
  <c r="E83" i="3"/>
  <c r="E97" i="3"/>
  <c r="F99" i="3"/>
  <c r="F87" i="3"/>
  <c r="F83" i="3"/>
  <c r="F97" i="3"/>
  <c r="D56" i="2"/>
  <c r="D62" i="2" s="1" a="1"/>
  <c r="D63" i="2" s="1"/>
  <c r="S15" i="2" s="1"/>
  <c r="E78" i="6"/>
  <c r="E91" i="6" s="1"/>
  <c r="E88" i="6"/>
  <c r="E117" i="6"/>
  <c r="E85" i="6"/>
  <c r="E123" i="6"/>
  <c r="E133" i="6"/>
  <c r="E82" i="6"/>
  <c r="E87" i="6"/>
  <c r="E77" i="6"/>
  <c r="E90" i="6" s="1"/>
  <c r="E132" i="6"/>
  <c r="F122" i="6"/>
  <c r="E83" i="6"/>
  <c r="E84" i="6"/>
  <c r="E81" i="6"/>
  <c r="E130" i="6"/>
  <c r="E86" i="6"/>
  <c r="E79" i="6"/>
  <c r="E128" i="6"/>
  <c r="G123" i="6"/>
  <c r="G124" i="6"/>
  <c r="G122" i="6"/>
  <c r="F77" i="6" a="1"/>
  <c r="F77" i="6" s="1"/>
  <c r="F90" i="6" s="1"/>
  <c r="G133" i="6"/>
  <c r="G132" i="6"/>
  <c r="E121" i="6"/>
  <c r="G131" i="6"/>
  <c r="G129" i="6"/>
  <c r="G128" i="6"/>
  <c r="F123" i="6"/>
  <c r="F133" i="6"/>
  <c r="F129" i="6"/>
  <c r="F121" i="6"/>
  <c r="F132" i="6"/>
  <c r="F128" i="6"/>
  <c r="F131" i="6"/>
  <c r="F130" i="6"/>
  <c r="G130" i="6"/>
  <c r="F124" i="6"/>
  <c r="E129" i="6"/>
  <c r="F117" i="6"/>
  <c r="F131" i="7"/>
  <c r="F130" i="7"/>
  <c r="F128" i="7"/>
  <c r="F127" i="7"/>
  <c r="E120" i="7"/>
  <c r="E122" i="7"/>
  <c r="F119" i="7"/>
  <c r="F129" i="7"/>
  <c r="F120" i="7"/>
  <c r="E121" i="7"/>
  <c r="E131" i="7"/>
  <c r="E127" i="7"/>
  <c r="E128" i="7"/>
  <c r="E129" i="7"/>
  <c r="E130" i="7"/>
  <c r="E126" i="7"/>
  <c r="E119" i="7"/>
  <c r="F126" i="7"/>
  <c r="F122" i="7"/>
  <c r="E82" i="2"/>
  <c r="E99" i="2"/>
  <c r="F115" i="7"/>
  <c r="E115" i="7"/>
  <c r="F77" i="7" a="1"/>
  <c r="E77" i="7" a="1"/>
  <c r="G117" i="6"/>
  <c r="G77" i="6" a="1"/>
  <c r="D83" i="3"/>
  <c r="D90" i="3"/>
  <c r="D88" i="3"/>
  <c r="D98" i="3"/>
  <c r="D87" i="3"/>
  <c r="E87" i="3"/>
  <c r="D62" i="3" a="1"/>
  <c r="F90" i="3"/>
  <c r="F95" i="3"/>
  <c r="E96" i="3"/>
  <c r="D97" i="3"/>
  <c r="F89" i="3"/>
  <c r="D95" i="3"/>
  <c r="F98" i="3"/>
  <c r="E89" i="3"/>
  <c r="E98" i="3"/>
  <c r="E95" i="3"/>
  <c r="E100" i="3"/>
  <c r="D100" i="3"/>
  <c r="F88" i="3"/>
  <c r="F100" i="3"/>
  <c r="F96" i="3"/>
  <c r="D89" i="3"/>
  <c r="E99" i="3"/>
  <c r="E88" i="3"/>
  <c r="D99" i="3"/>
  <c r="D96" i="3"/>
  <c r="E88" i="2"/>
  <c r="E95" i="2"/>
  <c r="E97" i="2"/>
  <c r="E94" i="2"/>
  <c r="E98" i="2"/>
  <c r="E89" i="2"/>
  <c r="D88" i="2"/>
  <c r="D96" i="2"/>
  <c r="D94" i="2"/>
  <c r="D82" i="2"/>
  <c r="D95" i="2"/>
  <c r="D98" i="2"/>
  <c r="D89" i="2"/>
  <c r="D99" i="2"/>
  <c r="D97" i="2"/>
  <c r="D87" i="2"/>
  <c r="E86" i="2"/>
  <c r="D86" i="2"/>
  <c r="G80" i="10" l="1"/>
  <c r="G78" i="10"/>
  <c r="G70" i="10"/>
  <c r="G76" i="10"/>
  <c r="G77" i="10"/>
  <c r="G79" i="10"/>
  <c r="G72" i="10"/>
  <c r="G73" i="10"/>
  <c r="G81" i="10"/>
  <c r="G75" i="10"/>
  <c r="G74" i="10"/>
  <c r="G71" i="10"/>
  <c r="G89" i="10" s="1"/>
  <c r="I78" i="10"/>
  <c r="I72" i="10"/>
  <c r="I73" i="10"/>
  <c r="I79" i="10"/>
  <c r="I74" i="10"/>
  <c r="I81" i="10"/>
  <c r="I75" i="10"/>
  <c r="I70" i="10"/>
  <c r="I77" i="10"/>
  <c r="I71" i="10"/>
  <c r="I89" i="10" s="1"/>
  <c r="I80" i="10"/>
  <c r="I76" i="10"/>
  <c r="H73" i="10"/>
  <c r="H74" i="10"/>
  <c r="H77" i="10"/>
  <c r="J77" i="10" s="1"/>
  <c r="H79" i="10"/>
  <c r="J79" i="10" s="1"/>
  <c r="H81" i="10"/>
  <c r="H80" i="10"/>
  <c r="H76" i="10"/>
  <c r="H78" i="10"/>
  <c r="J78" i="10" s="1"/>
  <c r="H75" i="10"/>
  <c r="H72" i="10"/>
  <c r="H70" i="10"/>
  <c r="H71" i="10"/>
  <c r="G69" i="9"/>
  <c r="G78" i="9" s="1"/>
  <c r="U12" i="9"/>
  <c r="I76" i="9"/>
  <c r="I79" i="9"/>
  <c r="I70" i="9"/>
  <c r="I74" i="9"/>
  <c r="I72" i="9"/>
  <c r="I78" i="9"/>
  <c r="I73" i="9"/>
  <c r="I75" i="9"/>
  <c r="I81" i="9"/>
  <c r="I80" i="9"/>
  <c r="I77" i="9"/>
  <c r="I71" i="9"/>
  <c r="H76" i="9"/>
  <c r="H77" i="9"/>
  <c r="H80" i="9"/>
  <c r="H70" i="9"/>
  <c r="H78" i="9"/>
  <c r="H73" i="9"/>
  <c r="H72" i="9"/>
  <c r="H75" i="9"/>
  <c r="H79" i="9"/>
  <c r="H81" i="9"/>
  <c r="H74" i="9"/>
  <c r="H71" i="9"/>
  <c r="G68" i="2"/>
  <c r="G70" i="2" s="1"/>
  <c r="F87" i="6"/>
  <c r="F84" i="6"/>
  <c r="F86" i="6"/>
  <c r="F79" i="6"/>
  <c r="F85" i="6"/>
  <c r="F78" i="6"/>
  <c r="F91" i="6" s="1"/>
  <c r="F83" i="6"/>
  <c r="F80" i="6"/>
  <c r="F82" i="6"/>
  <c r="F88" i="6"/>
  <c r="F81" i="6"/>
  <c r="D62" i="2"/>
  <c r="S14" i="2" s="1"/>
  <c r="F78" i="7"/>
  <c r="F80" i="7"/>
  <c r="F82" i="7"/>
  <c r="F84" i="7"/>
  <c r="F86" i="7"/>
  <c r="F88" i="7"/>
  <c r="F77" i="7"/>
  <c r="F90" i="7" s="1"/>
  <c r="F79" i="7"/>
  <c r="F81" i="7"/>
  <c r="F83" i="7"/>
  <c r="F85" i="7"/>
  <c r="F87" i="7"/>
  <c r="E77" i="7"/>
  <c r="E90" i="7" s="1"/>
  <c r="E84" i="7"/>
  <c r="E79" i="7"/>
  <c r="E81" i="7"/>
  <c r="E83" i="7"/>
  <c r="E85" i="7"/>
  <c r="E87" i="7"/>
  <c r="E86" i="7"/>
  <c r="E78" i="7"/>
  <c r="E80" i="7"/>
  <c r="E82" i="7"/>
  <c r="E88" i="7"/>
  <c r="G79" i="6"/>
  <c r="G83" i="6"/>
  <c r="G87" i="6"/>
  <c r="G78" i="6"/>
  <c r="G91" i="6" s="1"/>
  <c r="G82" i="6"/>
  <c r="G86" i="6"/>
  <c r="G77" i="6"/>
  <c r="G90" i="6" s="1"/>
  <c r="G81" i="6"/>
  <c r="G85" i="6"/>
  <c r="G80" i="6"/>
  <c r="G84" i="6"/>
  <c r="G88" i="6"/>
  <c r="D63" i="3"/>
  <c r="U12" i="3" s="1"/>
  <c r="D62" i="3"/>
  <c r="U11" i="3" s="1"/>
  <c r="D64" i="3"/>
  <c r="U13" i="3" s="1"/>
  <c r="J71" i="10" l="1"/>
  <c r="H89" i="10"/>
  <c r="Y18" i="10"/>
  <c r="K79" i="10"/>
  <c r="Y19" i="10" s="1"/>
  <c r="I83" i="10"/>
  <c r="I88" i="10"/>
  <c r="I90" i="10"/>
  <c r="J76" i="10"/>
  <c r="V18" i="10" s="1"/>
  <c r="I99" i="10"/>
  <c r="I95" i="10"/>
  <c r="I87" i="10"/>
  <c r="I97" i="10"/>
  <c r="I96" i="10"/>
  <c r="I100" i="10"/>
  <c r="I98" i="10"/>
  <c r="J72" i="10"/>
  <c r="J80" i="10"/>
  <c r="J74" i="10"/>
  <c r="X18" i="10"/>
  <c r="K78" i="10"/>
  <c r="X19" i="10" s="1"/>
  <c r="G97" i="10"/>
  <c r="G100" i="10"/>
  <c r="G99" i="10"/>
  <c r="G95" i="10"/>
  <c r="G87" i="10"/>
  <c r="G96" i="10"/>
  <c r="G98" i="10"/>
  <c r="H88" i="10"/>
  <c r="H90" i="10"/>
  <c r="H83" i="10"/>
  <c r="J70" i="10"/>
  <c r="W18" i="10"/>
  <c r="G83" i="10"/>
  <c r="G88" i="10"/>
  <c r="G90" i="10"/>
  <c r="J75" i="10"/>
  <c r="J81" i="10"/>
  <c r="H100" i="10"/>
  <c r="H96" i="10"/>
  <c r="H99" i="10"/>
  <c r="H98" i="10"/>
  <c r="H95" i="10"/>
  <c r="H87" i="10"/>
  <c r="J73" i="10"/>
  <c r="H97" i="10"/>
  <c r="G72" i="9"/>
  <c r="J72" i="9" s="1"/>
  <c r="R18" i="9" s="1"/>
  <c r="G70" i="9"/>
  <c r="J70" i="9" s="1"/>
  <c r="G75" i="9"/>
  <c r="J75" i="9" s="1"/>
  <c r="U18" i="9" s="1"/>
  <c r="G79" i="9"/>
  <c r="J79" i="9" s="1"/>
  <c r="G77" i="9"/>
  <c r="J77" i="9" s="1"/>
  <c r="G80" i="9"/>
  <c r="J80" i="9" s="1"/>
  <c r="Z18" i="9" s="1"/>
  <c r="G71" i="9"/>
  <c r="G73" i="9"/>
  <c r="G81" i="9"/>
  <c r="J81" i="9" s="1"/>
  <c r="AA18" i="9" s="1"/>
  <c r="G74" i="9"/>
  <c r="J74" i="9" s="1"/>
  <c r="G76" i="9"/>
  <c r="J76" i="9" s="1"/>
  <c r="V18" i="9" s="1"/>
  <c r="J78" i="9"/>
  <c r="X18" i="9" s="1"/>
  <c r="I89" i="9"/>
  <c r="H89" i="9"/>
  <c r="I99" i="9"/>
  <c r="I95" i="9"/>
  <c r="I87" i="9"/>
  <c r="I98" i="9"/>
  <c r="I97" i="9"/>
  <c r="I96" i="9"/>
  <c r="I100" i="9"/>
  <c r="H100" i="9"/>
  <c r="H96" i="9"/>
  <c r="H99" i="9"/>
  <c r="H95" i="9"/>
  <c r="H87" i="9"/>
  <c r="H98" i="9"/>
  <c r="H97" i="9"/>
  <c r="H88" i="9"/>
  <c r="H83" i="9"/>
  <c r="H90" i="9"/>
  <c r="I83" i="9"/>
  <c r="I90" i="9"/>
  <c r="I88" i="9"/>
  <c r="G69" i="3"/>
  <c r="G78" i="3" s="1"/>
  <c r="I69" i="3"/>
  <c r="I80" i="3" s="1"/>
  <c r="H69" i="3"/>
  <c r="H80" i="3" s="1"/>
  <c r="G69" i="2"/>
  <c r="G89" i="2" s="1"/>
  <c r="G78" i="2"/>
  <c r="G74" i="2"/>
  <c r="G79" i="2"/>
  <c r="G77" i="2"/>
  <c r="G75" i="2"/>
  <c r="G73" i="2"/>
  <c r="G80" i="2"/>
  <c r="G76" i="2"/>
  <c r="G72" i="2"/>
  <c r="G71" i="2"/>
  <c r="F68" i="2"/>
  <c r="F71" i="2" s="1"/>
  <c r="E97" i="6" a="1"/>
  <c r="E98" i="6" s="1"/>
  <c r="E96" i="7" a="1"/>
  <c r="G77" i="3" l="1"/>
  <c r="G74" i="3"/>
  <c r="R18" i="10"/>
  <c r="K72" i="10"/>
  <c r="J90" i="10"/>
  <c r="P18" i="10"/>
  <c r="J88" i="10"/>
  <c r="J83" i="10"/>
  <c r="K70" i="10"/>
  <c r="AA18" i="10"/>
  <c r="K81" i="10"/>
  <c r="AA19" i="10" s="1"/>
  <c r="T18" i="10"/>
  <c r="K74" i="10"/>
  <c r="T19" i="10" s="1"/>
  <c r="J98" i="10"/>
  <c r="J100" i="10"/>
  <c r="J96" i="10"/>
  <c r="J99" i="10"/>
  <c r="J95" i="10"/>
  <c r="J87" i="10"/>
  <c r="J97" i="10"/>
  <c r="S18" i="10"/>
  <c r="K73" i="10"/>
  <c r="U18" i="10"/>
  <c r="K75" i="10"/>
  <c r="U19" i="10" s="1"/>
  <c r="K77" i="10"/>
  <c r="W19" i="10" s="1"/>
  <c r="Z18" i="10"/>
  <c r="K80" i="10"/>
  <c r="Z19" i="10" s="1"/>
  <c r="Q18" i="10"/>
  <c r="J89" i="10"/>
  <c r="K71" i="10"/>
  <c r="G90" i="9"/>
  <c r="G98" i="9"/>
  <c r="G97" i="9"/>
  <c r="G88" i="9"/>
  <c r="G83" i="9"/>
  <c r="J71" i="9"/>
  <c r="K71" i="9" s="1"/>
  <c r="J73" i="9"/>
  <c r="G87" i="9"/>
  <c r="G100" i="9"/>
  <c r="G89" i="9"/>
  <c r="G96" i="9"/>
  <c r="G95" i="9"/>
  <c r="G99" i="9"/>
  <c r="K75" i="9"/>
  <c r="U19" i="9" s="1"/>
  <c r="K78" i="9"/>
  <c r="X19" i="9" s="1"/>
  <c r="P18" i="9"/>
  <c r="K70" i="9"/>
  <c r="M70" i="9" s="1"/>
  <c r="Y18" i="9"/>
  <c r="K79" i="9"/>
  <c r="Y19" i="9" s="1"/>
  <c r="K72" i="9"/>
  <c r="W18" i="9"/>
  <c r="K77" i="9"/>
  <c r="W19" i="9" s="1"/>
  <c r="T18" i="9"/>
  <c r="K74" i="9"/>
  <c r="T19" i="9" s="1"/>
  <c r="K81" i="9"/>
  <c r="AA19" i="9" s="1"/>
  <c r="K80" i="9"/>
  <c r="Z19" i="9" s="1"/>
  <c r="G79" i="3"/>
  <c r="G72" i="3"/>
  <c r="G70" i="3"/>
  <c r="G75" i="3"/>
  <c r="H76" i="3"/>
  <c r="G76" i="3"/>
  <c r="G80" i="3"/>
  <c r="J80" i="3" s="1"/>
  <c r="Z18" i="3" s="1"/>
  <c r="G81" i="3"/>
  <c r="G71" i="3"/>
  <c r="G73" i="3"/>
  <c r="H73" i="3"/>
  <c r="H77" i="3"/>
  <c r="H79" i="3"/>
  <c r="H72" i="3"/>
  <c r="H78" i="3"/>
  <c r="H71" i="3"/>
  <c r="H75" i="3"/>
  <c r="H74" i="3"/>
  <c r="H70" i="3"/>
  <c r="H81" i="3"/>
  <c r="I74" i="3"/>
  <c r="I73" i="3"/>
  <c r="I81" i="3"/>
  <c r="I77" i="3"/>
  <c r="J77" i="3" s="1"/>
  <c r="W18" i="3" s="1"/>
  <c r="I75" i="3"/>
  <c r="I79" i="3"/>
  <c r="I76" i="3"/>
  <c r="I78" i="3"/>
  <c r="I72" i="3"/>
  <c r="I71" i="3"/>
  <c r="I70" i="3"/>
  <c r="G82" i="2"/>
  <c r="F69" i="2"/>
  <c r="H69" i="2" s="1"/>
  <c r="N21" i="2" s="1"/>
  <c r="G96" i="2"/>
  <c r="G88" i="2"/>
  <c r="G99" i="2"/>
  <c r="H71" i="2"/>
  <c r="P21" i="2" s="1"/>
  <c r="G97" i="2"/>
  <c r="F75" i="2"/>
  <c r="H75" i="2" s="1"/>
  <c r="G98" i="2"/>
  <c r="F78" i="2"/>
  <c r="H78" i="2" s="1"/>
  <c r="W21" i="2" s="1"/>
  <c r="F76" i="2"/>
  <c r="H76" i="2" s="1"/>
  <c r="U21" i="2" s="1"/>
  <c r="G94" i="2"/>
  <c r="G87" i="2"/>
  <c r="F80" i="2"/>
  <c r="H80" i="2" s="1"/>
  <c r="Y21" i="2" s="1"/>
  <c r="F77" i="2"/>
  <c r="H77" i="2" s="1"/>
  <c r="V21" i="2" s="1"/>
  <c r="F73" i="2"/>
  <c r="H73" i="2" s="1"/>
  <c r="R21" i="2" s="1"/>
  <c r="G86" i="2"/>
  <c r="G95" i="2"/>
  <c r="F79" i="2"/>
  <c r="H79" i="2" s="1"/>
  <c r="X21" i="2" s="1"/>
  <c r="F70" i="2"/>
  <c r="H70" i="2" s="1"/>
  <c r="I70" i="2" s="1"/>
  <c r="O22" i="2" s="1"/>
  <c r="F72" i="2"/>
  <c r="F74" i="2"/>
  <c r="H74" i="2" s="1"/>
  <c r="S21" i="2" s="1"/>
  <c r="I103" i="6"/>
  <c r="I115" i="6" s="1"/>
  <c r="Q10" i="6"/>
  <c r="E97" i="6"/>
  <c r="E99" i="6"/>
  <c r="E97" i="7"/>
  <c r="E96" i="7"/>
  <c r="I112" i="6" l="1"/>
  <c r="K89" i="10"/>
  <c r="V25" i="10" s="1"/>
  <c r="Q19" i="10"/>
  <c r="M71" i="10"/>
  <c r="K83" i="10"/>
  <c r="K90" i="10"/>
  <c r="P19" i="10"/>
  <c r="K88" i="10"/>
  <c r="V24" i="10" s="1"/>
  <c r="M70" i="10"/>
  <c r="M76" i="10" s="1"/>
  <c r="U36" i="10" s="1"/>
  <c r="M72" i="10"/>
  <c r="R19" i="10"/>
  <c r="K97" i="10"/>
  <c r="S19" i="10"/>
  <c r="K100" i="10"/>
  <c r="W31" i="10" s="1"/>
  <c r="X30" i="10" s="1"/>
  <c r="K99" i="10"/>
  <c r="W30" i="10" s="1"/>
  <c r="K95" i="10"/>
  <c r="K87" i="10"/>
  <c r="V23" i="10" s="1"/>
  <c r="K98" i="10"/>
  <c r="W29" i="10" s="1"/>
  <c r="M73" i="10"/>
  <c r="K96" i="10"/>
  <c r="J98" i="9"/>
  <c r="J83" i="9"/>
  <c r="J88" i="9"/>
  <c r="J95" i="9"/>
  <c r="S18" i="9"/>
  <c r="Q18" i="9"/>
  <c r="J89" i="9"/>
  <c r="J90" i="9"/>
  <c r="J99" i="9"/>
  <c r="J100" i="9"/>
  <c r="J96" i="9"/>
  <c r="J97" i="9"/>
  <c r="K73" i="9"/>
  <c r="K97" i="9" s="1"/>
  <c r="J87" i="9"/>
  <c r="K89" i="9"/>
  <c r="V25" i="9" s="1"/>
  <c r="Q19" i="9"/>
  <c r="M71" i="9"/>
  <c r="M72" i="9"/>
  <c r="R19" i="9"/>
  <c r="K88" i="9"/>
  <c r="V24" i="9" s="1"/>
  <c r="P19" i="9"/>
  <c r="K90" i="9"/>
  <c r="G89" i="3"/>
  <c r="J71" i="3"/>
  <c r="Q18" i="3" s="1"/>
  <c r="J79" i="3"/>
  <c r="Y18" i="3" s="1"/>
  <c r="G87" i="3"/>
  <c r="G96" i="3"/>
  <c r="G100" i="3"/>
  <c r="G88" i="3"/>
  <c r="J76" i="3"/>
  <c r="K77" i="3" s="1"/>
  <c r="W19" i="3" s="1"/>
  <c r="G97" i="3"/>
  <c r="H95" i="3"/>
  <c r="G99" i="3"/>
  <c r="G95" i="3"/>
  <c r="G83" i="3"/>
  <c r="G98" i="3"/>
  <c r="G90" i="3"/>
  <c r="J81" i="3"/>
  <c r="AA18" i="3" s="1"/>
  <c r="I96" i="3"/>
  <c r="H90" i="3"/>
  <c r="J72" i="3"/>
  <c r="R18" i="3" s="1"/>
  <c r="J74" i="3"/>
  <c r="T18" i="3" s="1"/>
  <c r="H89" i="3"/>
  <c r="I90" i="3"/>
  <c r="H96" i="3"/>
  <c r="I95" i="3"/>
  <c r="J70" i="3"/>
  <c r="P18" i="3" s="1"/>
  <c r="I88" i="3"/>
  <c r="J78" i="3"/>
  <c r="X18" i="3" s="1"/>
  <c r="J75" i="3"/>
  <c r="U18" i="3" s="1"/>
  <c r="J73" i="3"/>
  <c r="S18" i="3" s="1"/>
  <c r="I87" i="3"/>
  <c r="H88" i="3"/>
  <c r="I100" i="3"/>
  <c r="H83" i="3"/>
  <c r="I98" i="3"/>
  <c r="H99" i="3"/>
  <c r="H97" i="3"/>
  <c r="H98" i="3"/>
  <c r="H100" i="3"/>
  <c r="H87" i="3"/>
  <c r="I99" i="3"/>
  <c r="I97" i="3"/>
  <c r="I83" i="3"/>
  <c r="I89" i="3"/>
  <c r="I69" i="2"/>
  <c r="N22" i="2" s="1"/>
  <c r="F88" i="2"/>
  <c r="I79" i="2"/>
  <c r="X22" i="2" s="1"/>
  <c r="H89" i="2"/>
  <c r="F86" i="2"/>
  <c r="I80" i="2"/>
  <c r="Y22" i="2" s="1"/>
  <c r="I73" i="2"/>
  <c r="R22" i="2" s="1"/>
  <c r="F87" i="2"/>
  <c r="I76" i="2"/>
  <c r="U22" i="2" s="1"/>
  <c r="T21" i="2"/>
  <c r="F89" i="2"/>
  <c r="I77" i="2"/>
  <c r="V22" i="2" s="1"/>
  <c r="F96" i="2"/>
  <c r="I78" i="2"/>
  <c r="W22" i="2" s="1"/>
  <c r="I71" i="2"/>
  <c r="P22" i="2" s="1"/>
  <c r="H87" i="2"/>
  <c r="I74" i="2"/>
  <c r="S22" i="2" s="1"/>
  <c r="F94" i="2"/>
  <c r="F99" i="2"/>
  <c r="F98" i="2"/>
  <c r="F82" i="2"/>
  <c r="F97" i="2"/>
  <c r="H72" i="2"/>
  <c r="H82" i="2" s="1"/>
  <c r="F95" i="2"/>
  <c r="O21" i="2"/>
  <c r="H88" i="2"/>
  <c r="I104" i="6"/>
  <c r="I111" i="6"/>
  <c r="I107" i="6"/>
  <c r="I114" i="6"/>
  <c r="I105" i="6"/>
  <c r="I113" i="6"/>
  <c r="V18" i="3"/>
  <c r="I110" i="6"/>
  <c r="I108" i="6"/>
  <c r="I106" i="6"/>
  <c r="I109" i="6"/>
  <c r="J103" i="6"/>
  <c r="Q11" i="6"/>
  <c r="H103" i="6"/>
  <c r="Q9" i="6"/>
  <c r="H101" i="7"/>
  <c r="H112" i="7" s="1"/>
  <c r="O10" i="7"/>
  <c r="G101" i="7"/>
  <c r="G110" i="7" s="1"/>
  <c r="O9" i="7"/>
  <c r="I124" i="6" l="1"/>
  <c r="I122" i="6"/>
  <c r="H107" i="7"/>
  <c r="H109" i="7"/>
  <c r="K98" i="9"/>
  <c r="W29" i="9" s="1"/>
  <c r="K99" i="9"/>
  <c r="W30" i="9" s="1"/>
  <c r="K83" i="9"/>
  <c r="S19" i="9"/>
  <c r="K96" i="9"/>
  <c r="K87" i="9"/>
  <c r="V23" i="9" s="1"/>
  <c r="K100" i="9"/>
  <c r="W31" i="9" s="1"/>
  <c r="X30" i="9" s="1"/>
  <c r="M73" i="9"/>
  <c r="M76" i="9" s="1"/>
  <c r="U36" i="9" s="1"/>
  <c r="K95" i="9"/>
  <c r="K79" i="3"/>
  <c r="Y19" i="3" s="1"/>
  <c r="K80" i="3"/>
  <c r="Z19" i="3" s="1"/>
  <c r="K71" i="3"/>
  <c r="K81" i="3"/>
  <c r="AA19" i="3" s="1"/>
  <c r="K75" i="3"/>
  <c r="U19" i="3" s="1"/>
  <c r="K74" i="3"/>
  <c r="T19" i="3" s="1"/>
  <c r="J96" i="3"/>
  <c r="J88" i="3"/>
  <c r="K78" i="3"/>
  <c r="X19" i="3" s="1"/>
  <c r="J89" i="3"/>
  <c r="K72" i="3"/>
  <c r="K73" i="3"/>
  <c r="J83" i="3"/>
  <c r="J100" i="3"/>
  <c r="J99" i="3"/>
  <c r="J90" i="3"/>
  <c r="J97" i="3"/>
  <c r="J87" i="3"/>
  <c r="K70" i="3"/>
  <c r="J95" i="3"/>
  <c r="J98" i="3"/>
  <c r="I89" i="2"/>
  <c r="I87" i="2"/>
  <c r="T27" i="2" s="1"/>
  <c r="I88" i="2"/>
  <c r="T28" i="2" s="1"/>
  <c r="Q21" i="2"/>
  <c r="Z21" i="2" s="1"/>
  <c r="H86" i="2"/>
  <c r="H95" i="2"/>
  <c r="H97" i="2"/>
  <c r="H99" i="2"/>
  <c r="H96" i="2"/>
  <c r="H98" i="2"/>
  <c r="H94" i="2"/>
  <c r="I72" i="2"/>
  <c r="I82" i="2" s="1"/>
  <c r="H104" i="7"/>
  <c r="I133" i="6"/>
  <c r="I128" i="6"/>
  <c r="H108" i="7"/>
  <c r="H110" i="7"/>
  <c r="I110" i="7" s="1"/>
  <c r="H103" i="7"/>
  <c r="H113" i="7"/>
  <c r="I132" i="6"/>
  <c r="I123" i="6"/>
  <c r="I121" i="6"/>
  <c r="I129" i="6"/>
  <c r="I131" i="6"/>
  <c r="I130" i="6"/>
  <c r="I117" i="6"/>
  <c r="H113" i="6"/>
  <c r="H107" i="6"/>
  <c r="H105" i="6"/>
  <c r="H104" i="6"/>
  <c r="H111" i="6"/>
  <c r="H108" i="6"/>
  <c r="H106" i="6"/>
  <c r="H114" i="6"/>
  <c r="H115" i="6"/>
  <c r="H112" i="6"/>
  <c r="H109" i="6"/>
  <c r="H110" i="6"/>
  <c r="J104" i="6"/>
  <c r="J109" i="6"/>
  <c r="J108" i="6"/>
  <c r="J111" i="6"/>
  <c r="J107" i="6"/>
  <c r="J112" i="6"/>
  <c r="J105" i="6"/>
  <c r="J110" i="6"/>
  <c r="J113" i="6"/>
  <c r="J106" i="6"/>
  <c r="J114" i="6"/>
  <c r="J115" i="6"/>
  <c r="H111" i="7"/>
  <c r="H106" i="7"/>
  <c r="H102" i="7"/>
  <c r="H105" i="7"/>
  <c r="G108" i="7"/>
  <c r="G104" i="7"/>
  <c r="G106" i="7"/>
  <c r="G109" i="7"/>
  <c r="I109" i="7" s="1"/>
  <c r="G105" i="7"/>
  <c r="G107" i="7"/>
  <c r="G103" i="7"/>
  <c r="G111" i="7"/>
  <c r="G112" i="7"/>
  <c r="I112" i="7" s="1"/>
  <c r="G102" i="7"/>
  <c r="G113" i="7"/>
  <c r="I107" i="7" l="1"/>
  <c r="I113" i="7"/>
  <c r="U16" i="7" s="1"/>
  <c r="I104" i="7"/>
  <c r="J104" i="7" s="1"/>
  <c r="L17" i="7" s="1"/>
  <c r="H120" i="7"/>
  <c r="P19" i="3"/>
  <c r="M70" i="3"/>
  <c r="Q19" i="3"/>
  <c r="M71" i="3"/>
  <c r="S19" i="3"/>
  <c r="M73" i="3"/>
  <c r="R19" i="3"/>
  <c r="M72" i="3"/>
  <c r="K89" i="3"/>
  <c r="V25" i="3" s="1"/>
  <c r="K83" i="3"/>
  <c r="K97" i="3"/>
  <c r="K90" i="3"/>
  <c r="K88" i="3"/>
  <c r="V24" i="3" s="1"/>
  <c r="K99" i="3"/>
  <c r="W30" i="3" s="1"/>
  <c r="K87" i="3"/>
  <c r="V23" i="3" s="1"/>
  <c r="K98" i="3"/>
  <c r="W29" i="3" s="1"/>
  <c r="K100" i="3"/>
  <c r="W31" i="3" s="1"/>
  <c r="X30" i="3" s="1"/>
  <c r="K96" i="3"/>
  <c r="K95" i="3"/>
  <c r="Q22" i="2"/>
  <c r="Z22" i="2" s="1"/>
  <c r="I99" i="2"/>
  <c r="U34" i="2" s="1"/>
  <c r="V33" i="2" s="1"/>
  <c r="I96" i="2"/>
  <c r="I95" i="2"/>
  <c r="I94" i="2"/>
  <c r="I86" i="2"/>
  <c r="T26" i="2" s="1"/>
  <c r="I97" i="2"/>
  <c r="U32" i="2" s="1"/>
  <c r="I98" i="2"/>
  <c r="U33" i="2" s="1"/>
  <c r="H121" i="7"/>
  <c r="I105" i="7"/>
  <c r="J105" i="7" s="1"/>
  <c r="I108" i="7"/>
  <c r="J108" i="7" s="1"/>
  <c r="P17" i="7" s="1"/>
  <c r="K114" i="6"/>
  <c r="U16" i="6" s="1"/>
  <c r="H122" i="7"/>
  <c r="I111" i="7"/>
  <c r="J111" i="7" s="1"/>
  <c r="S17" i="7" s="1"/>
  <c r="J123" i="6"/>
  <c r="K109" i="6"/>
  <c r="L109" i="6" s="1"/>
  <c r="P17" i="6" s="1"/>
  <c r="K106" i="6"/>
  <c r="M16" i="6" s="1"/>
  <c r="K110" i="6"/>
  <c r="H122" i="6"/>
  <c r="H124" i="6"/>
  <c r="K104" i="6"/>
  <c r="H117" i="6"/>
  <c r="H123" i="6"/>
  <c r="K105" i="6"/>
  <c r="K112" i="6"/>
  <c r="K108" i="6"/>
  <c r="H131" i="6"/>
  <c r="H133" i="6"/>
  <c r="H121" i="6"/>
  <c r="H130" i="6"/>
  <c r="H129" i="6"/>
  <c r="H132" i="6"/>
  <c r="H128" i="6"/>
  <c r="K107" i="6"/>
  <c r="J133" i="6"/>
  <c r="J129" i="6"/>
  <c r="J121" i="6"/>
  <c r="J130" i="6"/>
  <c r="J132" i="6"/>
  <c r="J128" i="6"/>
  <c r="J131" i="6"/>
  <c r="J122" i="6"/>
  <c r="J124" i="6"/>
  <c r="J117" i="6"/>
  <c r="K115" i="6"/>
  <c r="K111" i="6"/>
  <c r="K113" i="6"/>
  <c r="I106" i="7"/>
  <c r="J106" i="7" s="1"/>
  <c r="N17" i="7" s="1"/>
  <c r="H119" i="7"/>
  <c r="H127" i="7"/>
  <c r="G121" i="7"/>
  <c r="H126" i="7"/>
  <c r="H115" i="7"/>
  <c r="H130" i="7"/>
  <c r="H129" i="7"/>
  <c r="H131" i="7"/>
  <c r="H128" i="7"/>
  <c r="I103" i="7"/>
  <c r="G115" i="7"/>
  <c r="G119" i="7"/>
  <c r="I102" i="7"/>
  <c r="G126" i="7"/>
  <c r="G127" i="7"/>
  <c r="G129" i="7"/>
  <c r="G128" i="7"/>
  <c r="G122" i="7"/>
  <c r="G120" i="7"/>
  <c r="G131" i="7"/>
  <c r="G130" i="7"/>
  <c r="J110" i="7"/>
  <c r="R17" i="7" s="1"/>
  <c r="R16" i="7"/>
  <c r="J109" i="7"/>
  <c r="Q17" i="7" s="1"/>
  <c r="Q16" i="7"/>
  <c r="J107" i="7"/>
  <c r="O17" i="7" s="1"/>
  <c r="O16" i="7"/>
  <c r="J112" i="7"/>
  <c r="T17" i="7" s="1"/>
  <c r="T16" i="7"/>
  <c r="P16" i="7" l="1"/>
  <c r="L114" i="6"/>
  <c r="U17" i="6" s="1"/>
  <c r="I121" i="7"/>
  <c r="L106" i="6"/>
  <c r="M17" i="6" s="1"/>
  <c r="L16" i="7"/>
  <c r="J113" i="7"/>
  <c r="U17" i="7" s="1"/>
  <c r="M16" i="7"/>
  <c r="I128" i="7"/>
  <c r="S16" i="7"/>
  <c r="M76" i="3"/>
  <c r="U36" i="3" s="1"/>
  <c r="P16" i="6"/>
  <c r="N16" i="7"/>
  <c r="L113" i="6"/>
  <c r="T17" i="6" s="1"/>
  <c r="T16" i="6"/>
  <c r="L107" i="6"/>
  <c r="K132" i="6"/>
  <c r="K128" i="6"/>
  <c r="K130" i="6"/>
  <c r="K133" i="6"/>
  <c r="K129" i="6"/>
  <c r="K121" i="6"/>
  <c r="K131" i="6"/>
  <c r="N16" i="6"/>
  <c r="L108" i="6"/>
  <c r="O17" i="6" s="1"/>
  <c r="O16" i="6"/>
  <c r="L112" i="6"/>
  <c r="S17" i="6" s="1"/>
  <c r="S16" i="6"/>
  <c r="L104" i="6"/>
  <c r="K124" i="6"/>
  <c r="K122" i="6"/>
  <c r="K16" i="6"/>
  <c r="K117" i="6"/>
  <c r="L111" i="6"/>
  <c r="R17" i="6" s="1"/>
  <c r="R16" i="6"/>
  <c r="L115" i="6"/>
  <c r="V17" i="6" s="1"/>
  <c r="V16" i="6"/>
  <c r="L105" i="6"/>
  <c r="K123" i="6"/>
  <c r="L16" i="6"/>
  <c r="L110" i="6"/>
  <c r="Q17" i="6" s="1"/>
  <c r="Q16" i="6"/>
  <c r="J103" i="7"/>
  <c r="K17" i="7" s="1"/>
  <c r="K16" i="7"/>
  <c r="J16" i="7"/>
  <c r="I129" i="7"/>
  <c r="I126" i="7"/>
  <c r="J102" i="7"/>
  <c r="I119" i="7"/>
  <c r="I127" i="7"/>
  <c r="I122" i="7"/>
  <c r="I130" i="7"/>
  <c r="I131" i="7"/>
  <c r="I115" i="7"/>
  <c r="I120" i="7"/>
  <c r="J17" i="7"/>
  <c r="M17" i="7"/>
  <c r="J120" i="7" l="1"/>
  <c r="P22" i="7" s="1"/>
  <c r="J121" i="7"/>
  <c r="P23" i="7" s="1"/>
  <c r="L124" i="6"/>
  <c r="L122" i="6"/>
  <c r="R22" i="6" s="1"/>
  <c r="K17" i="6"/>
  <c r="L117" i="6"/>
  <c r="L131" i="6"/>
  <c r="L133" i="6"/>
  <c r="R29" i="6" s="1"/>
  <c r="S28" i="6" s="1"/>
  <c r="L129" i="6"/>
  <c r="L121" i="6"/>
  <c r="R21" i="6" s="1"/>
  <c r="L132" i="6"/>
  <c r="R28" i="6" s="1"/>
  <c r="L128" i="6"/>
  <c r="R27" i="6" s="1"/>
  <c r="L130" i="6"/>
  <c r="N17" i="6"/>
  <c r="L123" i="6"/>
  <c r="R23" i="6" s="1"/>
  <c r="L17" i="6"/>
  <c r="J119" i="7"/>
  <c r="P21" i="7" s="1"/>
  <c r="J129" i="7"/>
  <c r="J126" i="7"/>
  <c r="Q27" i="7" s="1"/>
  <c r="J128" i="7"/>
  <c r="J130" i="7"/>
  <c r="Q28" i="7" s="1"/>
  <c r="J115" i="7"/>
  <c r="J127" i="7"/>
  <c r="J122" i="7"/>
  <c r="J131" i="7"/>
  <c r="Q29" i="7" s="1"/>
  <c r="R28" i="7" s="1"/>
  <c r="L8" i="8"/>
  <c r="L10" i="8"/>
  <c r="L13" i="8"/>
  <c r="M13" i="8" s="1"/>
  <c r="L17" i="8"/>
  <c r="M17" i="8" s="1"/>
  <c r="L12" i="8"/>
  <c r="M12" i="8" s="1"/>
  <c r="L16" i="8"/>
  <c r="M16" i="8" s="1"/>
  <c r="L14" i="8"/>
  <c r="M14" i="8" s="1"/>
  <c r="L9" i="8"/>
  <c r="L11" i="8"/>
  <c r="M11" i="8" s="1"/>
  <c r="L15" i="8"/>
  <c r="M15" i="8" s="1"/>
  <c r="K19" i="8"/>
  <c r="L19" i="8"/>
  <c r="L7" i="8"/>
  <c r="M7" i="8" s="1"/>
  <c r="L32" i="8" l="1"/>
  <c r="L35" i="8"/>
  <c r="L34" i="8"/>
  <c r="L33" i="8"/>
  <c r="L36" i="8"/>
  <c r="L31" i="8"/>
  <c r="M10" i="8"/>
  <c r="L24" i="8"/>
  <c r="M8" i="8"/>
  <c r="L26" i="8"/>
  <c r="L25" i="8"/>
  <c r="M9" i="8"/>
  <c r="M34" i="8" l="1"/>
  <c r="M33" i="8"/>
  <c r="M36" i="8"/>
  <c r="M32" i="8"/>
  <c r="M35" i="8"/>
  <c r="M31" i="8"/>
  <c r="M26" i="8"/>
  <c r="M19" i="8"/>
  <c r="N10" i="8" s="1"/>
  <c r="M25" i="8"/>
  <c r="M24" i="8"/>
  <c r="N9" i="8"/>
  <c r="N32" i="8" l="1"/>
  <c r="N16" i="8"/>
  <c r="N14" i="8"/>
  <c r="N12" i="8"/>
  <c r="N7" i="8"/>
  <c r="N8" i="8"/>
  <c r="N26" i="8" s="1"/>
  <c r="N15" i="8"/>
  <c r="N17" i="8"/>
  <c r="N11" i="8"/>
  <c r="N35" i="8" s="1"/>
  <c r="N13" i="8"/>
  <c r="G58" i="12"/>
  <c r="E58" i="12" s="1"/>
  <c r="N36" i="8" l="1"/>
  <c r="N24" i="8"/>
  <c r="N25" i="8"/>
  <c r="N34" i="8"/>
  <c r="N33" i="8"/>
  <c r="N19" i="8"/>
  <c r="N31" i="8"/>
  <c r="H50" i="12"/>
  <c r="I58" i="12"/>
  <c r="H67" i="12" l="1"/>
  <c r="H68" i="12" s="1"/>
  <c r="H61" i="12"/>
  <c r="F62" i="12" s="1"/>
  <c r="H60" i="12"/>
  <c r="H85" i="12" s="1"/>
  <c r="H86" i="12" s="1"/>
  <c r="G93" i="12" s="1"/>
  <c r="H9" i="12"/>
  <c r="K23" i="12"/>
  <c r="M18" i="12"/>
  <c r="K19" i="12" l="1"/>
  <c r="E76" i="12"/>
  <c r="F66" i="12"/>
  <c r="E77" i="12" l="1"/>
  <c r="I76" i="12"/>
  <c r="I77" i="12" s="1"/>
  <c r="I78" i="12"/>
  <c r="I72" i="12" s="1"/>
  <c r="E72" i="12" l="1"/>
  <c r="F74" i="12" s="1"/>
  <c r="D82" i="12" s="1"/>
  <c r="E78" i="12" l="1"/>
  <c r="H8" i="12"/>
  <c r="H6" i="12"/>
  <c r="H7" i="12"/>
  <c r="K14" i="12" s="1"/>
  <c r="K7" i="12"/>
  <c r="K9" i="12" l="1"/>
  <c r="M9" i="12" s="1"/>
  <c r="K10" i="12"/>
  <c r="M10" i="12" s="1"/>
  <c r="H12" i="12"/>
  <c r="F24" i="8" l="1"/>
</calcChain>
</file>

<file path=xl/sharedStrings.xml><?xml version="1.0" encoding="utf-8"?>
<sst xmlns="http://schemas.openxmlformats.org/spreadsheetml/2006/main" count="807" uniqueCount="146">
  <si>
    <t>de 95 a 98 portland de calidad alta</t>
  </si>
  <si>
    <t>de 90 a 95 portland normal</t>
  </si>
  <si>
    <t>LSF</t>
  </si>
  <si>
    <t>KSt II</t>
  </si>
  <si>
    <t>KSt I</t>
  </si>
  <si>
    <t>KSt</t>
  </si>
  <si>
    <t>KSG</t>
  </si>
  <si>
    <t>KSK</t>
  </si>
  <si>
    <t>FÒRMULAS PARA LA CAL (factor de saturación)</t>
  </si>
  <si>
    <t>MS</t>
  </si>
  <si>
    <t>TM</t>
  </si>
  <si>
    <t>SM</t>
  </si>
  <si>
    <t>MH</t>
  </si>
  <si>
    <t>MÓDULOS</t>
  </si>
  <si>
    <t>%</t>
  </si>
  <si>
    <t>CLINKER</t>
  </si>
  <si>
    <t>CRUDO</t>
  </si>
  <si>
    <t>RELACIÓN EN LA QUE SE MEZCLAN AMBOS COMPONENTES</t>
  </si>
  <si>
    <t>Y</t>
  </si>
  <si>
    <t>RELACION</t>
  </si>
  <si>
    <t>X</t>
  </si>
  <si>
    <t>total</t>
  </si>
  <si>
    <t>K2O</t>
  </si>
  <si>
    <t>Na2O</t>
  </si>
  <si>
    <t>Mn2O3</t>
  </si>
  <si>
    <t>TiO2</t>
  </si>
  <si>
    <t>Resto</t>
  </si>
  <si>
    <t>P.C.</t>
  </si>
  <si>
    <t>SO3</t>
  </si>
  <si>
    <t>MgO</t>
  </si>
  <si>
    <t>CaO</t>
  </si>
  <si>
    <t>Fe2O3</t>
  </si>
  <si>
    <t>Al2O3</t>
  </si>
  <si>
    <t>SiO2</t>
  </si>
  <si>
    <t>ARCILLA</t>
  </si>
  <si>
    <t>CALIZA</t>
  </si>
  <si>
    <t>M.P.2</t>
  </si>
  <si>
    <t>M.P. 1</t>
  </si>
  <si>
    <t>#DATOS</t>
  </si>
  <si>
    <t>=</t>
  </si>
  <si>
    <t>VALOR</t>
  </si>
  <si>
    <t xml:space="preserve">NOMBRE </t>
  </si>
  <si>
    <t>INSERTAR DATOS (celdas en rojo)</t>
  </si>
  <si>
    <t>lime saturation factor</t>
  </si>
  <si>
    <t>STD. cal khul</t>
  </si>
  <si>
    <t>ESTÁNDARES</t>
  </si>
  <si>
    <t>kalkstandard</t>
  </si>
  <si>
    <t>kind</t>
  </si>
  <si>
    <t>fudentes,alumina</t>
  </si>
  <si>
    <t>silisico</t>
  </si>
  <si>
    <t>silicatos</t>
  </si>
  <si>
    <t>hidraulico</t>
  </si>
  <si>
    <t>M.P.3</t>
  </si>
  <si>
    <t>Z</t>
  </si>
  <si>
    <t>ARENA</t>
  </si>
  <si>
    <t>M.P. 3</t>
  </si>
  <si>
    <t>INSERTAR VALOR</t>
  </si>
  <si>
    <t xml:space="preserve">INSERTAR NOMBRE </t>
  </si>
  <si>
    <t xml:space="preserve">INSERTAR DATOS </t>
  </si>
  <si>
    <t>N.D.</t>
  </si>
  <si>
    <t>C4AF</t>
  </si>
  <si>
    <t>C3A</t>
  </si>
  <si>
    <t>C2S</t>
  </si>
  <si>
    <t>C3S</t>
  </si>
  <si>
    <t>CANT.</t>
  </si>
  <si>
    <t>PM</t>
  </si>
  <si>
    <t>TOTAL</t>
  </si>
  <si>
    <t>R%</t>
  </si>
  <si>
    <t>INSERTAR DATOS DEL PROBLEMA</t>
  </si>
  <si>
    <t>#MP</t>
  </si>
  <si>
    <t>insertar el nombre del compuesto en el casillero negro</t>
  </si>
  <si>
    <t>RESULTADOS</t>
  </si>
  <si>
    <t>SILICATOS</t>
  </si>
  <si>
    <t>HIDRAÚLICO</t>
  </si>
  <si>
    <t>ALÚMINA</t>
  </si>
  <si>
    <t>FACTOR DE SATURACIÓN</t>
  </si>
  <si>
    <t>KIND</t>
  </si>
  <si>
    <t>KHUL</t>
  </si>
  <si>
    <t>LIME SATURATION FACTOR</t>
  </si>
  <si>
    <t>COMPOSICIÓN QUÍMICA</t>
  </si>
  <si>
    <t>PROPORCIÓN DE LA MEZCLA</t>
  </si>
  <si>
    <t>ESCORIAS DE HORNO ALTO</t>
  </si>
  <si>
    <t>CENIZAS DE PIRITA</t>
  </si>
  <si>
    <t>q1</t>
  </si>
  <si>
    <t>q2</t>
  </si>
  <si>
    <t>q3</t>
  </si>
  <si>
    <t>q4</t>
  </si>
  <si>
    <t>poner las cenizas como MP3</t>
  </si>
  <si>
    <t>q</t>
  </si>
  <si>
    <t>CENIZAS ABSORVIDAS POR EL CLINKER</t>
  </si>
  <si>
    <t>CENIZAS DE CARBON</t>
  </si>
  <si>
    <t>D</t>
  </si>
  <si>
    <t>Na2O Y K2O</t>
  </si>
  <si>
    <t>CARBON</t>
  </si>
  <si>
    <t>CENIZAS</t>
  </si>
  <si>
    <t>CALCULADO A 100%</t>
  </si>
  <si>
    <t>CZ</t>
  </si>
  <si>
    <t>CO2</t>
  </si>
  <si>
    <t>H2O</t>
  </si>
  <si>
    <t>DATOS DE LABORATORIO</t>
  </si>
  <si>
    <t>otros</t>
  </si>
  <si>
    <t>PRIMERO</t>
  </si>
  <si>
    <t>SEGUNDO</t>
  </si>
  <si>
    <t>@@@@</t>
  </si>
  <si>
    <t>→</t>
  </si>
  <si>
    <t>entonces hay</t>
  </si>
  <si>
    <t>TERCERO</t>
  </si>
  <si>
    <t>CUARTO</t>
  </si>
  <si>
    <t>CO3Mg</t>
  </si>
  <si>
    <t>CO3Ca</t>
  </si>
  <si>
    <t>SO4Ca</t>
  </si>
  <si>
    <t>SO4Ca(1/2H2O)</t>
  </si>
  <si>
    <t>SO4Ca(2H2O)</t>
  </si>
  <si>
    <t>residuos</t>
  </si>
  <si>
    <t>+</t>
  </si>
  <si>
    <t>CaOdisp</t>
  </si>
  <si>
    <t>CaOdisp/SO3</t>
  </si>
  <si>
    <t>SO4Catotal</t>
  </si>
  <si>
    <t>SO4Catotal/H2O</t>
  </si>
  <si>
    <t>AGUA TOTAL</t>
  </si>
  <si>
    <t>X+Y</t>
  </si>
  <si>
    <t>IMPUREZAS</t>
  </si>
  <si>
    <t>@@@</t>
  </si>
  <si>
    <t>1/2H2O</t>
  </si>
  <si>
    <t>###</t>
  </si>
  <si>
    <t>X=</t>
  </si>
  <si>
    <t>Y=</t>
  </si>
  <si>
    <t>QUINTO</t>
  </si>
  <si>
    <t>este paso procede cuando el yeso no alcanza el estandar comercial, siendo solo algez</t>
  </si>
  <si>
    <t>2H20</t>
  </si>
  <si>
    <t>CANT</t>
  </si>
  <si>
    <t>COMPOSICION DEL YESO</t>
  </si>
  <si>
    <t>ITERPRETANDO EL PORCENTAJE DE HEMIDRATO</t>
  </si>
  <si>
    <t>COMPONENTES EN EXCESO</t>
  </si>
  <si>
    <t>COMPOSICIÓN REAL</t>
  </si>
  <si>
    <t>CÁLCULO DE LA COMPOSICIÓN DEL  CRUDO</t>
  </si>
  <si>
    <t>OBJETIVO:</t>
  </si>
  <si>
    <t xml:space="preserve">Determinar las relaciones de las cantidades de materias primas que hay que aportar para dar al CLINKER que se va a conocer la composición </t>
  </si>
  <si>
    <t>química y mineralógica deseada.</t>
  </si>
  <si>
    <t>OBSERVACIÓN:</t>
  </si>
  <si>
    <t>Los resultados cuya suma rebasa 100, se han de llevar a este valor participantes. Si por otro lado, la suma es inferior a 100</t>
  </si>
  <si>
    <t>Entonces, en este caso el resto a 100 se designa como componente residual.</t>
  </si>
  <si>
    <t>FORMULAS USADAS:</t>
  </si>
  <si>
    <t>PROPORCIÓN:</t>
  </si>
  <si>
    <t>1.-CÁLCULO CON MÓDULO HIDRÁULICO</t>
  </si>
  <si>
    <t>2.-CÁLCULO POR GRADO DE SATURACIÓN DE LA 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</si>
</sst>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 tint="4.9989318521683403E-2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double"/>
      <sz val="11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rgb="FF00B05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8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0" fontId="0" fillId="0" borderId="0" xfId="0" applyAlignment="1">
      <alignment vertical="center"/>
    </xf>
    <xf numFmtId="164" fontId="2" fillId="4" borderId="0" xfId="0" applyNumberFormat="1" applyFont="1" applyFill="1" applyAlignment="1">
      <alignment horizontal="center" vertical="center"/>
    </xf>
    <xf numFmtId="164" fontId="2" fillId="5" borderId="0" xfId="0" applyNumberFormat="1" applyFont="1" applyFill="1" applyAlignment="1">
      <alignment horizontal="center" vertical="center"/>
    </xf>
    <xf numFmtId="164" fontId="0" fillId="6" borderId="0" xfId="0" applyNumberForma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3" borderId="0" xfId="0" applyFill="1"/>
    <xf numFmtId="164" fontId="0" fillId="10" borderId="0" xfId="0" applyNumberForma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1" fontId="0" fillId="11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4" fontId="0" fillId="7" borderId="0" xfId="0" applyNumberFormat="1" applyFill="1" applyAlignment="1">
      <alignment horizontal="center" vertical="center"/>
    </xf>
    <xf numFmtId="0" fontId="0" fillId="13" borderId="0" xfId="0" applyFill="1"/>
    <xf numFmtId="0" fontId="0" fillId="13" borderId="1" xfId="0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0" fontId="0" fillId="13" borderId="4" xfId="0" applyFill="1" applyBorder="1"/>
    <xf numFmtId="0" fontId="0" fillId="13" borderId="0" xfId="0" applyFill="1" applyBorder="1"/>
    <xf numFmtId="0" fontId="0" fillId="13" borderId="5" xfId="0" applyFill="1" applyBorder="1"/>
    <xf numFmtId="0" fontId="0" fillId="13" borderId="6" xfId="0" applyFill="1" applyBorder="1"/>
    <xf numFmtId="0" fontId="0" fillId="13" borderId="7" xfId="0" applyFill="1" applyBorder="1"/>
    <xf numFmtId="0" fontId="0" fillId="13" borderId="8" xfId="0" applyFill="1" applyBorder="1"/>
    <xf numFmtId="0" fontId="0" fillId="13" borderId="9" xfId="0" applyFill="1" applyBorder="1" applyAlignment="1">
      <alignment horizontal="center" vertical="center"/>
    </xf>
    <xf numFmtId="0" fontId="0" fillId="13" borderId="9" xfId="0" applyFill="1" applyBorder="1"/>
    <xf numFmtId="164" fontId="0" fillId="13" borderId="9" xfId="0" applyNumberFormat="1" applyFill="1" applyBorder="1"/>
    <xf numFmtId="0" fontId="0" fillId="13" borderId="10" xfId="0" applyFill="1" applyBorder="1" applyAlignment="1">
      <alignment horizontal="center" vertical="center"/>
    </xf>
    <xf numFmtId="0" fontId="0" fillId="13" borderId="11" xfId="0" applyFill="1" applyBorder="1" applyAlignment="1">
      <alignment horizontal="center" vertical="center"/>
    </xf>
    <xf numFmtId="0" fontId="0" fillId="13" borderId="12" xfId="0" applyFill="1" applyBorder="1"/>
    <xf numFmtId="0" fontId="0" fillId="13" borderId="13" xfId="0" applyFill="1" applyBorder="1" applyAlignment="1">
      <alignment horizontal="center" vertical="center"/>
    </xf>
    <xf numFmtId="0" fontId="0" fillId="13" borderId="14" xfId="0" applyFill="1" applyBorder="1" applyAlignment="1">
      <alignment horizontal="center" vertical="center"/>
    </xf>
    <xf numFmtId="0" fontId="0" fillId="13" borderId="15" xfId="0" applyFill="1" applyBorder="1"/>
    <xf numFmtId="0" fontId="0" fillId="13" borderId="12" xfId="0" applyFill="1" applyBorder="1" applyAlignment="1">
      <alignment horizontal="center" vertical="center"/>
    </xf>
    <xf numFmtId="0" fontId="0" fillId="13" borderId="16" xfId="0" applyFill="1" applyBorder="1"/>
    <xf numFmtId="0" fontId="0" fillId="13" borderId="17" xfId="0" applyFill="1" applyBorder="1"/>
    <xf numFmtId="0" fontId="0" fillId="13" borderId="13" xfId="0" applyFill="1" applyBorder="1"/>
    <xf numFmtId="164" fontId="0" fillId="13" borderId="14" xfId="0" applyNumberFormat="1" applyFill="1" applyBorder="1"/>
    <xf numFmtId="0" fontId="0" fillId="13" borderId="14" xfId="0" applyFill="1" applyBorder="1"/>
    <xf numFmtId="0" fontId="0" fillId="13" borderId="2" xfId="0" applyFill="1" applyBorder="1"/>
    <xf numFmtId="0" fontId="0" fillId="13" borderId="3" xfId="0" applyFill="1" applyBorder="1"/>
    <xf numFmtId="0" fontId="0" fillId="13" borderId="5" xfId="0" applyFill="1" applyBorder="1" applyAlignment="1">
      <alignment horizontal="center" vertical="center"/>
    </xf>
    <xf numFmtId="0" fontId="0" fillId="13" borderId="8" xfId="0" applyFill="1" applyBorder="1" applyAlignment="1">
      <alignment horizontal="center" vertical="center"/>
    </xf>
    <xf numFmtId="0" fontId="0" fillId="13" borderId="11" xfId="0" applyFill="1" applyBorder="1"/>
    <xf numFmtId="0" fontId="0" fillId="13" borderId="17" xfId="0" applyFill="1" applyBorder="1" applyAlignment="1">
      <alignment horizontal="center" vertical="center"/>
    </xf>
    <xf numFmtId="0" fontId="0" fillId="13" borderId="15" xfId="0" applyFill="1" applyBorder="1" applyAlignment="1">
      <alignment horizontal="center" vertical="center"/>
    </xf>
    <xf numFmtId="0" fontId="0" fillId="13" borderId="16" xfId="0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5" fillId="13" borderId="4" xfId="0" applyFont="1" applyFill="1" applyBorder="1" applyAlignment="1">
      <alignment vertical="center"/>
    </xf>
    <xf numFmtId="0" fontId="5" fillId="13" borderId="4" xfId="0" applyFont="1" applyFill="1" applyBorder="1" applyAlignment="1">
      <alignment horizontal="center" vertical="center"/>
    </xf>
    <xf numFmtId="0" fontId="5" fillId="13" borderId="0" xfId="0" applyFont="1" applyFill="1" applyBorder="1" applyAlignment="1">
      <alignment horizontal="center" vertical="center"/>
    </xf>
    <xf numFmtId="0" fontId="0" fillId="13" borderId="0" xfId="0" applyFill="1" applyBorder="1" applyAlignment="1">
      <alignment vertical="center"/>
    </xf>
    <xf numFmtId="0" fontId="0" fillId="13" borderId="4" xfId="0" applyFill="1" applyBorder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164" fontId="0" fillId="13" borderId="17" xfId="0" applyNumberFormat="1" applyFill="1" applyBorder="1" applyAlignment="1">
      <alignment horizontal="center" vertical="center"/>
    </xf>
    <xf numFmtId="164" fontId="0" fillId="13" borderId="15" xfId="0" applyNumberFormat="1" applyFill="1" applyBorder="1" applyAlignment="1">
      <alignment horizontal="center" vertical="center"/>
    </xf>
    <xf numFmtId="164" fontId="0" fillId="13" borderId="12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5" fillId="13" borderId="0" xfId="0" applyFont="1" applyFill="1" applyBorder="1" applyAlignment="1">
      <alignment horizontal="center" vertical="center"/>
    </xf>
    <xf numFmtId="164" fontId="0" fillId="13" borderId="14" xfId="0" applyNumberFormat="1" applyFill="1" applyBorder="1" applyAlignment="1">
      <alignment horizontal="center" vertical="center"/>
    </xf>
    <xf numFmtId="164" fontId="0" fillId="13" borderId="9" xfId="0" applyNumberFormat="1" applyFill="1" applyBorder="1" applyAlignment="1">
      <alignment horizontal="center" vertical="center"/>
    </xf>
    <xf numFmtId="0" fontId="0" fillId="13" borderId="5" xfId="0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13" borderId="5" xfId="0" applyFill="1" applyBorder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5" fillId="13" borderId="0" xfId="0" applyFont="1" applyFill="1" applyBorder="1" applyAlignment="1">
      <alignment vertical="center"/>
    </xf>
    <xf numFmtId="0" fontId="5" fillId="13" borderId="0" xfId="0" applyFont="1" applyFill="1" applyBorder="1"/>
    <xf numFmtId="0" fontId="5" fillId="13" borderId="0" xfId="0" applyFont="1" applyFill="1" applyBorder="1" applyAlignment="1">
      <alignment horizontal="center"/>
    </xf>
    <xf numFmtId="0" fontId="5" fillId="13" borderId="10" xfId="0" applyFont="1" applyFill="1" applyBorder="1" applyAlignment="1">
      <alignment horizontal="center" vertical="center"/>
    </xf>
    <xf numFmtId="0" fontId="5" fillId="13" borderId="11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/>
    </xf>
    <xf numFmtId="0" fontId="5" fillId="13" borderId="14" xfId="0" applyFont="1" applyFill="1" applyBorder="1" applyAlignment="1">
      <alignment horizontal="center" vertical="center"/>
    </xf>
    <xf numFmtId="2" fontId="5" fillId="13" borderId="9" xfId="0" applyNumberFormat="1" applyFont="1" applyFill="1" applyBorder="1" applyAlignment="1">
      <alignment horizontal="center" vertical="center"/>
    </xf>
    <xf numFmtId="2" fontId="5" fillId="13" borderId="14" xfId="0" applyNumberFormat="1" applyFont="1" applyFill="1" applyBorder="1" applyAlignment="1">
      <alignment horizontal="center" vertical="center"/>
    </xf>
    <xf numFmtId="0" fontId="5" fillId="13" borderId="11" xfId="0" applyFont="1" applyFill="1" applyBorder="1"/>
    <xf numFmtId="2" fontId="5" fillId="13" borderId="12" xfId="0" applyNumberFormat="1" applyFont="1" applyFill="1" applyBorder="1" applyAlignment="1">
      <alignment horizontal="center" vertical="center"/>
    </xf>
    <xf numFmtId="0" fontId="5" fillId="13" borderId="9" xfId="0" applyFont="1" applyFill="1" applyBorder="1"/>
    <xf numFmtId="2" fontId="5" fillId="13" borderId="17" xfId="0" applyNumberFormat="1" applyFont="1" applyFill="1" applyBorder="1" applyAlignment="1">
      <alignment horizontal="center" vertical="center"/>
    </xf>
    <xf numFmtId="0" fontId="5" fillId="13" borderId="14" xfId="0" applyFont="1" applyFill="1" applyBorder="1"/>
    <xf numFmtId="2" fontId="5" fillId="13" borderId="15" xfId="0" applyNumberFormat="1" applyFont="1" applyFill="1" applyBorder="1" applyAlignment="1">
      <alignment horizontal="center" vertical="center"/>
    </xf>
    <xf numFmtId="0" fontId="5" fillId="13" borderId="0" xfId="0" applyFont="1" applyFill="1"/>
    <xf numFmtId="0" fontId="5" fillId="13" borderId="9" xfId="0" applyFont="1" applyFill="1" applyBorder="1" applyAlignment="1">
      <alignment horizontal="center" vertical="center"/>
    </xf>
    <xf numFmtId="0" fontId="5" fillId="13" borderId="7" xfId="0" applyFont="1" applyFill="1" applyBorder="1"/>
    <xf numFmtId="0" fontId="2" fillId="9" borderId="0" xfId="0" applyFont="1" applyFill="1" applyAlignment="1">
      <alignment horizontal="center" vertical="center"/>
    </xf>
    <xf numFmtId="0" fontId="6" fillId="13" borderId="2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0" fontId="6" fillId="13" borderId="10" xfId="0" applyFont="1" applyFill="1" applyBorder="1" applyAlignment="1">
      <alignment horizontal="center" vertical="center"/>
    </xf>
    <xf numFmtId="0" fontId="6" fillId="13" borderId="11" xfId="0" applyFont="1" applyFill="1" applyBorder="1" applyAlignment="1">
      <alignment horizontal="center" vertical="center"/>
    </xf>
    <xf numFmtId="0" fontId="6" fillId="13" borderId="16" xfId="0" applyFont="1" applyFill="1" applyBorder="1" applyAlignment="1">
      <alignment horizontal="center" vertical="center"/>
    </xf>
    <xf numFmtId="0" fontId="6" fillId="13" borderId="9" xfId="0" applyFont="1" applyFill="1" applyBorder="1" applyAlignment="1">
      <alignment horizontal="center" vertical="center"/>
    </xf>
    <xf numFmtId="0" fontId="6" fillId="13" borderId="13" xfId="0" applyFont="1" applyFill="1" applyBorder="1" applyAlignment="1">
      <alignment horizontal="center" vertical="center"/>
    </xf>
    <xf numFmtId="0" fontId="6" fillId="13" borderId="14" xfId="0" applyFont="1" applyFill="1" applyBorder="1" applyAlignment="1">
      <alignment horizontal="center" vertical="center"/>
    </xf>
    <xf numFmtId="0" fontId="6" fillId="13" borderId="12" xfId="0" applyFont="1" applyFill="1" applyBorder="1" applyAlignment="1">
      <alignment horizontal="center" vertical="center"/>
    </xf>
    <xf numFmtId="2" fontId="6" fillId="13" borderId="9" xfId="0" applyNumberFormat="1" applyFont="1" applyFill="1" applyBorder="1" applyAlignment="1">
      <alignment horizontal="center" vertical="center"/>
    </xf>
    <xf numFmtId="2" fontId="6" fillId="13" borderId="14" xfId="0" applyNumberFormat="1" applyFont="1" applyFill="1" applyBorder="1" applyAlignment="1">
      <alignment horizontal="center" vertical="center"/>
    </xf>
    <xf numFmtId="2" fontId="6" fillId="13" borderId="12" xfId="0" applyNumberFormat="1" applyFont="1" applyFill="1" applyBorder="1" applyAlignment="1">
      <alignment horizontal="center" vertical="center"/>
    </xf>
    <xf numFmtId="2" fontId="6" fillId="13" borderId="17" xfId="0" applyNumberFormat="1" applyFont="1" applyFill="1" applyBorder="1" applyAlignment="1">
      <alignment horizontal="center" vertical="center"/>
    </xf>
    <xf numFmtId="2" fontId="6" fillId="13" borderId="15" xfId="0" applyNumberFormat="1" applyFont="1" applyFill="1" applyBorder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6" fillId="13" borderId="7" xfId="0" applyFont="1" applyFill="1" applyBorder="1" applyAlignment="1">
      <alignment horizontal="center" vertical="center"/>
    </xf>
    <xf numFmtId="0" fontId="6" fillId="13" borderId="23" xfId="0" applyFont="1" applyFill="1" applyBorder="1" applyAlignment="1">
      <alignment horizontal="center" vertical="center"/>
    </xf>
    <xf numFmtId="0" fontId="6" fillId="13" borderId="21" xfId="0" applyFont="1" applyFill="1" applyBorder="1" applyAlignment="1">
      <alignment horizontal="center" vertical="center"/>
    </xf>
    <xf numFmtId="0" fontId="6" fillId="13" borderId="19" xfId="0" applyFont="1" applyFill="1" applyBorder="1" applyAlignment="1">
      <alignment horizontal="center" vertical="center"/>
    </xf>
    <xf numFmtId="0" fontId="6" fillId="13" borderId="38" xfId="0" applyFont="1" applyFill="1" applyBorder="1" applyAlignment="1">
      <alignment horizontal="center" vertical="center"/>
    </xf>
    <xf numFmtId="0" fontId="0" fillId="0" borderId="40" xfId="0" applyBorder="1"/>
    <xf numFmtId="2" fontId="6" fillId="13" borderId="35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164" fontId="0" fillId="0" borderId="0" xfId="0" applyNumberFormat="1"/>
    <xf numFmtId="0" fontId="0" fillId="14" borderId="0" xfId="0" applyFill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8" fillId="13" borderId="0" xfId="0" applyFont="1" applyFill="1"/>
    <xf numFmtId="0" fontId="8" fillId="13" borderId="0" xfId="0" applyFont="1" applyFill="1" applyAlignment="1">
      <alignment horizontal="center" vertical="center"/>
    </xf>
    <xf numFmtId="0" fontId="8" fillId="13" borderId="9" xfId="0" applyFont="1" applyFill="1" applyBorder="1" applyAlignment="1">
      <alignment horizontal="center" vertical="center"/>
    </xf>
    <xf numFmtId="2" fontId="8" fillId="13" borderId="9" xfId="0" applyNumberFormat="1" applyFont="1" applyFill="1" applyBorder="1" applyAlignment="1">
      <alignment horizontal="center" vertical="center"/>
    </xf>
    <xf numFmtId="1" fontId="8" fillId="13" borderId="9" xfId="0" applyNumberFormat="1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2" fontId="2" fillId="5" borderId="9" xfId="0" applyNumberFormat="1" applyFont="1" applyFill="1" applyBorder="1" applyAlignment="1">
      <alignment horizontal="center" vertical="center"/>
    </xf>
    <xf numFmtId="2" fontId="2" fillId="20" borderId="9" xfId="0" applyNumberFormat="1" applyFont="1" applyFill="1" applyBorder="1" applyAlignment="1">
      <alignment horizontal="center" vertical="center"/>
    </xf>
    <xf numFmtId="2" fontId="2" fillId="8" borderId="9" xfId="0" applyNumberFormat="1" applyFont="1" applyFill="1" applyBorder="1" applyAlignment="1">
      <alignment horizontal="center" vertical="center"/>
    </xf>
    <xf numFmtId="2" fontId="2" fillId="5" borderId="0" xfId="0" applyNumberFormat="1" applyFont="1" applyFill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13" borderId="7" xfId="0" applyFill="1" applyBorder="1" applyAlignment="1">
      <alignment horizontal="center" vertical="center"/>
    </xf>
    <xf numFmtId="2" fontId="0" fillId="13" borderId="12" xfId="0" applyNumberFormat="1" applyFill="1" applyBorder="1" applyAlignment="1">
      <alignment horizontal="center" vertical="center"/>
    </xf>
    <xf numFmtId="2" fontId="0" fillId="13" borderId="15" xfId="0" applyNumberFormat="1" applyFill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2" fontId="6" fillId="13" borderId="31" xfId="0" applyNumberFormat="1" applyFont="1" applyFill="1" applyBorder="1" applyAlignment="1">
      <alignment horizontal="center" vertical="center"/>
    </xf>
    <xf numFmtId="2" fontId="5" fillId="13" borderId="29" xfId="0" applyNumberFormat="1" applyFont="1" applyFill="1" applyBorder="1" applyAlignment="1">
      <alignment horizontal="center" vertical="center"/>
    </xf>
    <xf numFmtId="2" fontId="5" fillId="13" borderId="31" xfId="0" applyNumberFormat="1" applyFont="1" applyFill="1" applyBorder="1" applyAlignment="1">
      <alignment horizontal="center" vertical="center"/>
    </xf>
    <xf numFmtId="2" fontId="0" fillId="13" borderId="9" xfId="0" applyNumberFormat="1" applyFill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top"/>
    </xf>
    <xf numFmtId="0" fontId="5" fillId="21" borderId="16" xfId="0" applyFont="1" applyFill="1" applyBorder="1"/>
    <xf numFmtId="0" fontId="5" fillId="21" borderId="13" xfId="0" applyFont="1" applyFill="1" applyBorder="1"/>
    <xf numFmtId="0" fontId="5" fillId="22" borderId="11" xfId="0" applyFont="1" applyFill="1" applyBorder="1" applyAlignment="1">
      <alignment horizontal="center" vertical="center"/>
    </xf>
    <xf numFmtId="0" fontId="5" fillId="22" borderId="27" xfId="0" applyFont="1" applyFill="1" applyBorder="1" applyAlignment="1">
      <alignment horizontal="center" vertical="center"/>
    </xf>
    <xf numFmtId="0" fontId="6" fillId="13" borderId="27" xfId="0" applyFont="1" applyFill="1" applyBorder="1" applyAlignment="1">
      <alignment horizontal="center" vertical="center"/>
    </xf>
    <xf numFmtId="2" fontId="6" fillId="13" borderId="29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3" borderId="22" xfId="0" applyFont="1" applyFill="1" applyBorder="1" applyAlignment="1">
      <alignment horizontal="center" vertical="center"/>
    </xf>
    <xf numFmtId="0" fontId="6" fillId="13" borderId="26" xfId="0" applyFont="1" applyFill="1" applyBorder="1" applyAlignment="1">
      <alignment horizontal="center" vertical="center"/>
    </xf>
    <xf numFmtId="0" fontId="6" fillId="13" borderId="23" xfId="0" applyFont="1" applyFill="1" applyBorder="1" applyAlignment="1">
      <alignment horizontal="center" vertical="center"/>
    </xf>
    <xf numFmtId="0" fontId="6" fillId="13" borderId="20" xfId="0" applyFont="1" applyFill="1" applyBorder="1" applyAlignment="1">
      <alignment horizontal="center" vertical="center"/>
    </xf>
    <xf numFmtId="0" fontId="6" fillId="13" borderId="25" xfId="0" applyFont="1" applyFill="1" applyBorder="1" applyAlignment="1">
      <alignment horizontal="center" vertical="center"/>
    </xf>
    <xf numFmtId="0" fontId="6" fillId="13" borderId="21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0" fontId="6" fillId="13" borderId="18" xfId="0" applyFont="1" applyFill="1" applyBorder="1" applyAlignment="1">
      <alignment horizontal="center" vertical="center"/>
    </xf>
    <xf numFmtId="0" fontId="6" fillId="13" borderId="24" xfId="0" applyFont="1" applyFill="1" applyBorder="1" applyAlignment="1">
      <alignment horizontal="center" vertical="center"/>
    </xf>
    <xf numFmtId="0" fontId="6" fillId="13" borderId="19" xfId="0" applyFont="1" applyFill="1" applyBorder="1" applyAlignment="1">
      <alignment horizontal="center" vertical="center"/>
    </xf>
    <xf numFmtId="0" fontId="6" fillId="13" borderId="13" xfId="0" applyFont="1" applyFill="1" applyBorder="1" applyAlignment="1">
      <alignment horizontal="center" vertical="center"/>
    </xf>
    <xf numFmtId="0" fontId="6" fillId="13" borderId="14" xfId="0" applyFont="1" applyFill="1" applyBorder="1" applyAlignment="1">
      <alignment horizontal="center" vertical="center"/>
    </xf>
    <xf numFmtId="0" fontId="6" fillId="13" borderId="15" xfId="0" applyFont="1" applyFill="1" applyBorder="1" applyAlignment="1">
      <alignment horizontal="center" vertical="center"/>
    </xf>
    <xf numFmtId="2" fontId="6" fillId="13" borderId="31" xfId="0" applyNumberFormat="1" applyFont="1" applyFill="1" applyBorder="1" applyAlignment="1">
      <alignment horizontal="center" vertical="center"/>
    </xf>
    <xf numFmtId="2" fontId="6" fillId="13" borderId="32" xfId="0" applyNumberFormat="1" applyFont="1" applyFill="1" applyBorder="1" applyAlignment="1">
      <alignment horizontal="center" vertical="center"/>
    </xf>
    <xf numFmtId="0" fontId="6" fillId="13" borderId="16" xfId="0" applyFont="1" applyFill="1" applyBorder="1" applyAlignment="1">
      <alignment horizontal="center" vertical="center"/>
    </xf>
    <xf numFmtId="0" fontId="6" fillId="13" borderId="9" xfId="0" applyFont="1" applyFill="1" applyBorder="1" applyAlignment="1">
      <alignment horizontal="center" vertical="center"/>
    </xf>
    <xf numFmtId="0" fontId="6" fillId="13" borderId="17" xfId="0" applyFont="1" applyFill="1" applyBorder="1" applyAlignment="1">
      <alignment horizontal="center" vertical="center"/>
    </xf>
    <xf numFmtId="2" fontId="6" fillId="13" borderId="9" xfId="0" applyNumberFormat="1" applyFont="1" applyFill="1" applyBorder="1" applyAlignment="1">
      <alignment horizontal="center" vertical="center"/>
    </xf>
    <xf numFmtId="2" fontId="6" fillId="13" borderId="17" xfId="0" applyNumberFormat="1" applyFont="1" applyFill="1" applyBorder="1" applyAlignment="1">
      <alignment horizontal="center" vertical="center"/>
    </xf>
    <xf numFmtId="0" fontId="6" fillId="13" borderId="36" xfId="0" applyFont="1" applyFill="1" applyBorder="1" applyAlignment="1">
      <alignment horizontal="center" vertical="center"/>
    </xf>
    <xf numFmtId="0" fontId="6" fillId="13" borderId="37" xfId="0" applyFont="1" applyFill="1" applyBorder="1" applyAlignment="1">
      <alignment horizontal="center" vertical="center"/>
    </xf>
    <xf numFmtId="0" fontId="6" fillId="13" borderId="10" xfId="0" applyFont="1" applyFill="1" applyBorder="1" applyAlignment="1">
      <alignment horizontal="center" vertical="center"/>
    </xf>
    <xf numFmtId="0" fontId="6" fillId="13" borderId="11" xfId="0" applyFont="1" applyFill="1" applyBorder="1" applyAlignment="1">
      <alignment horizontal="center" vertical="center"/>
    </xf>
    <xf numFmtId="0" fontId="6" fillId="13" borderId="12" xfId="0" applyFont="1" applyFill="1" applyBorder="1" applyAlignment="1">
      <alignment horizontal="center" vertical="center"/>
    </xf>
    <xf numFmtId="2" fontId="6" fillId="13" borderId="33" xfId="0" applyNumberFormat="1" applyFont="1" applyFill="1" applyBorder="1" applyAlignment="1">
      <alignment horizontal="center" vertical="center"/>
    </xf>
    <xf numFmtId="2" fontId="6" fillId="13" borderId="34" xfId="0" applyNumberFormat="1" applyFont="1" applyFill="1" applyBorder="1" applyAlignment="1">
      <alignment horizontal="center" vertical="center"/>
    </xf>
    <xf numFmtId="0" fontId="8" fillId="13" borderId="29" xfId="0" applyFont="1" applyFill="1" applyBorder="1" applyAlignment="1">
      <alignment horizontal="center" vertical="center"/>
    </xf>
    <xf numFmtId="0" fontId="8" fillId="13" borderId="21" xfId="0" applyFont="1" applyFill="1" applyBorder="1" applyAlignment="1">
      <alignment horizontal="center" vertical="center"/>
    </xf>
    <xf numFmtId="0" fontId="8" fillId="13" borderId="0" xfId="0" applyFont="1" applyFill="1" applyAlignment="1">
      <alignment horizontal="center" vertical="center"/>
    </xf>
    <xf numFmtId="0" fontId="8" fillId="13" borderId="9" xfId="0" applyFont="1" applyFill="1" applyBorder="1" applyAlignment="1">
      <alignment horizontal="center" vertical="center"/>
    </xf>
    <xf numFmtId="0" fontId="2" fillId="18" borderId="0" xfId="0" applyFont="1" applyFill="1" applyAlignment="1">
      <alignment horizontal="center" vertical="center"/>
    </xf>
    <xf numFmtId="0" fontId="2" fillId="19" borderId="0" xfId="0" applyFont="1" applyFill="1" applyAlignment="1">
      <alignment horizontal="center" vertical="center"/>
    </xf>
    <xf numFmtId="0" fontId="8" fillId="17" borderId="0" xfId="0" applyFont="1" applyFill="1" applyAlignment="1">
      <alignment horizontal="center" vertical="center"/>
    </xf>
    <xf numFmtId="0" fontId="8" fillId="13" borderId="25" xfId="0" applyFont="1" applyFill="1" applyBorder="1" applyAlignment="1">
      <alignment horizontal="center" vertical="center"/>
    </xf>
    <xf numFmtId="2" fontId="8" fillId="13" borderId="29" xfId="0" applyNumberFormat="1" applyFont="1" applyFill="1" applyBorder="1" applyAlignment="1">
      <alignment horizontal="center" vertical="center"/>
    </xf>
    <xf numFmtId="2" fontId="8" fillId="13" borderId="25" xfId="0" applyNumberFormat="1" applyFont="1" applyFill="1" applyBorder="1" applyAlignment="1">
      <alignment horizontal="center" vertical="center"/>
    </xf>
    <xf numFmtId="2" fontId="8" fillId="13" borderId="2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13" borderId="36" xfId="0" applyFill="1" applyBorder="1" applyAlignment="1">
      <alignment horizontal="center" vertical="center"/>
    </xf>
    <xf numFmtId="0" fontId="0" fillId="13" borderId="42" xfId="0" applyFill="1" applyBorder="1" applyAlignment="1">
      <alignment horizontal="center" vertical="center"/>
    </xf>
    <xf numFmtId="0" fontId="0" fillId="13" borderId="37" xfId="0" applyFill="1" applyBorder="1" applyAlignment="1">
      <alignment horizontal="center" vertical="center"/>
    </xf>
    <xf numFmtId="0" fontId="0" fillId="13" borderId="10" xfId="0" applyFill="1" applyBorder="1" applyAlignment="1">
      <alignment horizontal="center" vertical="center"/>
    </xf>
    <xf numFmtId="0" fontId="0" fillId="13" borderId="11" xfId="0" applyFill="1" applyBorder="1" applyAlignment="1">
      <alignment horizontal="center" vertical="center"/>
    </xf>
    <xf numFmtId="0" fontId="0" fillId="13" borderId="13" xfId="0" applyFill="1" applyBorder="1" applyAlignment="1">
      <alignment horizontal="center" vertical="center"/>
    </xf>
    <xf numFmtId="0" fontId="0" fillId="13" borderId="14" xfId="0" applyFill="1" applyBorder="1" applyAlignment="1">
      <alignment horizontal="center" vertical="center"/>
    </xf>
    <xf numFmtId="2" fontId="0" fillId="13" borderId="38" xfId="0" applyNumberFormat="1" applyFill="1" applyBorder="1" applyAlignment="1">
      <alignment horizontal="center" vertical="center"/>
    </xf>
    <xf numFmtId="2" fontId="0" fillId="13" borderId="41" xfId="0" applyNumberFormat="1" applyFill="1" applyBorder="1" applyAlignment="1">
      <alignment horizontal="center" vertical="center"/>
    </xf>
    <xf numFmtId="2" fontId="0" fillId="13" borderId="39" xfId="0" applyNumberFormat="1" applyFill="1" applyBorder="1" applyAlignment="1">
      <alignment horizontal="center" vertical="center"/>
    </xf>
    <xf numFmtId="0" fontId="0" fillId="13" borderId="38" xfId="0" applyFill="1" applyBorder="1" applyAlignment="1">
      <alignment horizontal="center" vertical="center"/>
    </xf>
    <xf numFmtId="0" fontId="0" fillId="13" borderId="41" xfId="0" applyFill="1" applyBorder="1" applyAlignment="1">
      <alignment horizontal="center" vertical="center"/>
    </xf>
    <xf numFmtId="0" fontId="0" fillId="13" borderId="39" xfId="0" applyFill="1" applyBorder="1" applyAlignment="1">
      <alignment horizontal="center" vertical="center"/>
    </xf>
    <xf numFmtId="0" fontId="9" fillId="13" borderId="4" xfId="0" applyFont="1" applyFill="1" applyBorder="1" applyAlignment="1">
      <alignment horizontal="center" vertical="center"/>
    </xf>
    <xf numFmtId="0" fontId="9" fillId="13" borderId="0" xfId="0" applyFont="1" applyFill="1" applyBorder="1" applyAlignment="1">
      <alignment horizontal="center" vertical="center"/>
    </xf>
    <xf numFmtId="0" fontId="9" fillId="13" borderId="5" xfId="0" applyFont="1" applyFill="1" applyBorder="1" applyAlignment="1">
      <alignment horizontal="center" vertical="center"/>
    </xf>
    <xf numFmtId="0" fontId="8" fillId="16" borderId="0" xfId="0" applyFont="1" applyFill="1" applyAlignment="1">
      <alignment horizontal="center" vertical="center"/>
    </xf>
    <xf numFmtId="0" fontId="8" fillId="15" borderId="0" xfId="0" applyFont="1" applyFill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center" vertical="center"/>
    </xf>
    <xf numFmtId="0" fontId="10" fillId="13" borderId="5" xfId="0" applyFont="1" applyFill="1" applyBorder="1" applyAlignment="1">
      <alignment horizontal="center" vertical="center"/>
    </xf>
    <xf numFmtId="0" fontId="0" fillId="23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0" borderId="0" xfId="0" applyAlignment="1">
      <alignment horizontal="left" vertical="top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4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5" fillId="13" borderId="18" xfId="0" applyFont="1" applyFill="1" applyBorder="1" applyAlignment="1">
      <alignment horizontal="center" vertical="center"/>
    </xf>
    <xf numFmtId="0" fontId="5" fillId="13" borderId="24" xfId="0" applyFont="1" applyFill="1" applyBorder="1" applyAlignment="1">
      <alignment horizontal="center" vertical="center"/>
    </xf>
    <xf numFmtId="0" fontId="5" fillId="13" borderId="19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horizontal="center"/>
    </xf>
    <xf numFmtId="0" fontId="5" fillId="13" borderId="0" xfId="0" applyFont="1" applyFill="1" applyBorder="1" applyAlignment="1">
      <alignment horizontal="center"/>
    </xf>
    <xf numFmtId="0" fontId="5" fillId="13" borderId="22" xfId="0" applyFont="1" applyFill="1" applyBorder="1" applyAlignment="1">
      <alignment horizontal="center"/>
    </xf>
    <xf numFmtId="0" fontId="5" fillId="13" borderId="26" xfId="0" applyFont="1" applyFill="1" applyBorder="1" applyAlignment="1">
      <alignment horizontal="center"/>
    </xf>
    <xf numFmtId="0" fontId="5" fillId="13" borderId="23" xfId="0" applyFont="1" applyFill="1" applyBorder="1" applyAlignment="1">
      <alignment horizontal="center"/>
    </xf>
    <xf numFmtId="0" fontId="5" fillId="13" borderId="20" xfId="0" applyFont="1" applyFill="1" applyBorder="1" applyAlignment="1">
      <alignment horizontal="center" vertical="center"/>
    </xf>
    <xf numFmtId="0" fontId="5" fillId="13" borderId="21" xfId="0" applyFont="1" applyFill="1" applyBorder="1" applyAlignment="1">
      <alignment horizontal="center" vertical="center"/>
    </xf>
    <xf numFmtId="0" fontId="5" fillId="13" borderId="25" xfId="0" applyFont="1" applyFill="1" applyBorder="1" applyAlignment="1">
      <alignment horizontal="center" vertical="center"/>
    </xf>
    <xf numFmtId="0" fontId="5" fillId="13" borderId="0" xfId="0" applyFont="1" applyFill="1" applyBorder="1" applyAlignment="1">
      <alignment horizontal="center" vertical="center"/>
    </xf>
    <xf numFmtId="0" fontId="11" fillId="13" borderId="0" xfId="0" applyFont="1" applyFill="1" applyBorder="1" applyAlignment="1">
      <alignment horizontal="center" vertical="center"/>
    </xf>
    <xf numFmtId="0" fontId="15" fillId="13" borderId="0" xfId="0" applyFont="1" applyFill="1" applyBorder="1" applyAlignment="1">
      <alignment horizontal="center"/>
    </xf>
    <xf numFmtId="2" fontId="5" fillId="13" borderId="33" xfId="0" applyNumberFormat="1" applyFont="1" applyFill="1" applyBorder="1" applyAlignment="1">
      <alignment horizontal="center" vertical="center"/>
    </xf>
    <xf numFmtId="2" fontId="5" fillId="13" borderId="34" xfId="0" applyNumberFormat="1" applyFont="1" applyFill="1" applyBorder="1" applyAlignment="1">
      <alignment horizontal="center" vertical="center"/>
    </xf>
    <xf numFmtId="2" fontId="5" fillId="13" borderId="14" xfId="0" applyNumberFormat="1" applyFont="1" applyFill="1" applyBorder="1" applyAlignment="1">
      <alignment horizontal="center" vertical="center"/>
    </xf>
    <xf numFmtId="2" fontId="5" fillId="13" borderId="15" xfId="0" applyNumberFormat="1" applyFont="1" applyFill="1" applyBorder="1" applyAlignment="1">
      <alignment horizontal="center" vertical="center"/>
    </xf>
    <xf numFmtId="0" fontId="16" fillId="13" borderId="0" xfId="0" applyFont="1" applyFill="1" applyBorder="1" applyAlignment="1">
      <alignment horizontal="center" vertical="center"/>
    </xf>
    <xf numFmtId="0" fontId="5" fillId="13" borderId="38" xfId="0" applyFont="1" applyFill="1" applyBorder="1" applyAlignment="1">
      <alignment horizontal="center"/>
    </xf>
    <xf numFmtId="0" fontId="5" fillId="13" borderId="39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/>
    </xf>
    <xf numFmtId="0" fontId="18" fillId="13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13" borderId="0" xfId="0" applyFill="1" applyBorder="1" applyAlignment="1">
      <alignment horizontal="center"/>
    </xf>
    <xf numFmtId="0" fontId="0" fillId="13" borderId="0" xfId="0" applyFill="1" applyBorder="1" applyAlignment="1">
      <alignment horizontal="center" vertical="center"/>
    </xf>
    <xf numFmtId="0" fontId="0" fillId="13" borderId="5" xfId="0" applyFill="1" applyBorder="1" applyAlignment="1">
      <alignment horizontal="center" vertical="center"/>
    </xf>
    <xf numFmtId="164" fontId="0" fillId="13" borderId="11" xfId="0" applyNumberFormat="1" applyFill="1" applyBorder="1" applyAlignment="1">
      <alignment horizontal="center" vertical="center"/>
    </xf>
    <xf numFmtId="164" fontId="0" fillId="13" borderId="12" xfId="0" applyNumberFormat="1" applyFill="1" applyBorder="1" applyAlignment="1">
      <alignment horizontal="center" vertical="center"/>
    </xf>
    <xf numFmtId="164" fontId="0" fillId="13" borderId="14" xfId="0" applyNumberFormat="1" applyFill="1" applyBorder="1" applyAlignment="1">
      <alignment horizontal="center" vertical="center"/>
    </xf>
    <xf numFmtId="164" fontId="0" fillId="13" borderId="15" xfId="0" applyNumberFormat="1" applyFill="1" applyBorder="1" applyAlignment="1">
      <alignment horizontal="center" vertical="center"/>
    </xf>
    <xf numFmtId="0" fontId="0" fillId="13" borderId="22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0" fontId="0" fillId="13" borderId="20" xfId="0" applyFill="1" applyBorder="1" applyAlignment="1">
      <alignment horizontal="center" vertical="center"/>
    </xf>
    <xf numFmtId="0" fontId="0" fillId="13" borderId="21" xfId="0" applyFill="1" applyBorder="1" applyAlignment="1">
      <alignment horizontal="center" vertical="center"/>
    </xf>
    <xf numFmtId="0" fontId="0" fillId="13" borderId="18" xfId="0" applyFill="1" applyBorder="1" applyAlignment="1">
      <alignment horizontal="center" vertical="center"/>
    </xf>
    <xf numFmtId="0" fontId="0" fillId="13" borderId="19" xfId="0" applyFill="1" applyBorder="1" applyAlignment="1">
      <alignment horizontal="center" vertical="center"/>
    </xf>
    <xf numFmtId="0" fontId="0" fillId="13" borderId="24" xfId="0" applyFill="1" applyBorder="1" applyAlignment="1">
      <alignment horizontal="center" vertical="center"/>
    </xf>
    <xf numFmtId="0" fontId="0" fillId="13" borderId="25" xfId="0" applyFill="1" applyBorder="1" applyAlignment="1">
      <alignment horizontal="center" vertical="center"/>
    </xf>
    <xf numFmtId="0" fontId="0" fillId="13" borderId="26" xfId="0" applyFill="1" applyBorder="1" applyAlignment="1">
      <alignment horizontal="center"/>
    </xf>
    <xf numFmtId="164" fontId="0" fillId="13" borderId="27" xfId="0" applyNumberFormat="1" applyFill="1" applyBorder="1" applyAlignment="1">
      <alignment horizontal="center" vertical="center"/>
    </xf>
    <xf numFmtId="164" fontId="0" fillId="13" borderId="28" xfId="0" applyNumberFormat="1" applyFill="1" applyBorder="1" applyAlignment="1">
      <alignment horizontal="center" vertical="center"/>
    </xf>
    <xf numFmtId="164" fontId="0" fillId="13" borderId="29" xfId="0" applyNumberFormat="1" applyFill="1" applyBorder="1" applyAlignment="1">
      <alignment horizontal="center" vertical="center"/>
    </xf>
    <xf numFmtId="164" fontId="0" fillId="13" borderId="30" xfId="0" applyNumberFormat="1" applyFill="1" applyBorder="1" applyAlignment="1">
      <alignment horizontal="center" vertical="center"/>
    </xf>
    <xf numFmtId="164" fontId="0" fillId="13" borderId="31" xfId="0" applyNumberFormat="1" applyFill="1" applyBorder="1" applyAlignment="1">
      <alignment horizontal="center" vertical="center"/>
    </xf>
    <xf numFmtId="164" fontId="0" fillId="13" borderId="32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585107</xdr:colOff>
      <xdr:row>4</xdr:row>
      <xdr:rowOff>54429</xdr:rowOff>
    </xdr:from>
    <xdr:to>
      <xdr:col>1</xdr:col>
      <xdr:colOff>449036</xdr:colOff>
      <xdr:row>16</xdr:row>
      <xdr:rowOff>81643</xdr:rowOff>
    </xdr:to>
    <xdr:sp macro="" textlink="">
      <xdr:nvSpPr>
        <xdr:cNvPr id="2" name="Flecha curvada hacia la derech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85107" y="825954"/>
          <a:ext cx="978354" cy="3265714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435428</xdr:colOff>
      <xdr:row>10</xdr:row>
      <xdr:rowOff>68037</xdr:rowOff>
    </xdr:from>
    <xdr:to>
      <xdr:col>2</xdr:col>
      <xdr:colOff>176892</xdr:colOff>
      <xdr:row>24</xdr:row>
      <xdr:rowOff>13608</xdr:rowOff>
    </xdr:to>
    <xdr:sp macro="" textlink="">
      <xdr:nvSpPr>
        <xdr:cNvPr id="2" name="Flecha curvada hacia la derech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35428" y="830037"/>
          <a:ext cx="1265464" cy="2422071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13610</xdr:colOff>
      <xdr:row>7</xdr:row>
      <xdr:rowOff>13607</xdr:rowOff>
    </xdr:from>
    <xdr:to>
      <xdr:col>5</xdr:col>
      <xdr:colOff>721180</xdr:colOff>
      <xdr:row>10</xdr:row>
      <xdr:rowOff>285750</xdr:rowOff>
    </xdr:to>
    <xdr:sp macro="" textlink="">
      <xdr:nvSpPr>
        <xdr:cNvPr id="3" name="Cerrar llav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395110" y="1537607"/>
          <a:ext cx="707570" cy="1047750"/>
        </a:xfrm>
        <a:prstGeom prst="rightBrace">
          <a:avLst/>
        </a:prstGeom>
        <a:ln w="57150">
          <a:solidFill>
            <a:srgbClr val="92D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710295</xdr:colOff>
      <xdr:row>12</xdr:row>
      <xdr:rowOff>84364</xdr:rowOff>
    </xdr:from>
    <xdr:to>
      <xdr:col>5</xdr:col>
      <xdr:colOff>587829</xdr:colOff>
      <xdr:row>18</xdr:row>
      <xdr:rowOff>0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758295" y="1036864"/>
          <a:ext cx="639534" cy="1058636"/>
        </a:xfrm>
        <a:prstGeom prst="rightBrace">
          <a:avLst/>
        </a:prstGeom>
        <a:ln w="5715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435429</xdr:colOff>
      <xdr:row>58</xdr:row>
      <xdr:rowOff>108857</xdr:rowOff>
    </xdr:from>
    <xdr:to>
      <xdr:col>4</xdr:col>
      <xdr:colOff>722539</xdr:colOff>
      <xdr:row>60</xdr:row>
      <xdr:rowOff>54429</xdr:rowOff>
    </xdr:to>
    <xdr:sp macro="" textlink="">
      <xdr:nvSpPr>
        <xdr:cNvPr id="5" name="Flecha derecha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986893" y="10028464"/>
          <a:ext cx="287110" cy="353786"/>
        </a:xfrm>
        <a:prstGeom prst="rightArrow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81642</xdr:colOff>
      <xdr:row>108</xdr:row>
      <xdr:rowOff>0</xdr:rowOff>
    </xdr:from>
    <xdr:to>
      <xdr:col>6</xdr:col>
      <xdr:colOff>272142</xdr:colOff>
      <xdr:row>114</xdr:row>
      <xdr:rowOff>81644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28DC5A3-DEB2-458A-A5C7-BFB33D652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240" t="49671" r="47808" b="33586"/>
        <a:stretch/>
      </xdr:blipFill>
      <xdr:spPr>
        <a:xfrm>
          <a:off x="2735035" y="12287250"/>
          <a:ext cx="3116036" cy="122464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54429</xdr:colOff>
      <xdr:row>118</xdr:row>
      <xdr:rowOff>27214</xdr:rowOff>
    </xdr:from>
    <xdr:to>
      <xdr:col>7</xdr:col>
      <xdr:colOff>27214</xdr:colOff>
      <xdr:row>127</xdr:row>
      <xdr:rowOff>40821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4B7F026-38FD-4D27-9B71-0578F9EFA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751" t="29393" r="71133" b="46981"/>
        <a:stretch/>
      </xdr:blipFill>
      <xdr:spPr>
        <a:xfrm>
          <a:off x="3605893" y="14219464"/>
          <a:ext cx="3007178" cy="172810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54428</xdr:colOff>
      <xdr:row>108</xdr:row>
      <xdr:rowOff>68035</xdr:rowOff>
    </xdr:from>
    <xdr:to>
      <xdr:col>17</xdr:col>
      <xdr:colOff>231321</xdr:colOff>
      <xdr:row>116</xdr:row>
      <xdr:rowOff>13607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C4DA2E7-5AB1-4F44-96E3-DB0C012EC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46" t="48555" r="46553" b="31353"/>
        <a:stretch/>
      </xdr:blipFill>
      <xdr:spPr>
        <a:xfrm>
          <a:off x="6640285" y="12355285"/>
          <a:ext cx="6517822" cy="146957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476250</xdr:colOff>
      <xdr:row>29</xdr:row>
      <xdr:rowOff>176892</xdr:rowOff>
    </xdr:from>
    <xdr:to>
      <xdr:col>5</xdr:col>
      <xdr:colOff>1034143</xdr:colOff>
      <xdr:row>32</xdr:row>
      <xdr:rowOff>163286</xdr:rowOff>
    </xdr:to>
    <xdr:sp macro="" textlink="">
      <xdr:nvSpPr>
        <xdr:cNvPr id="9" name="Flecha: a la derecha con bandas 8">
          <a:extLst>
            <a:ext uri="{FF2B5EF4-FFF2-40B4-BE49-F238E27FC236}">
              <a16:creationId xmlns:a16="http://schemas.microsoft.com/office/drawing/2014/main" id="{19231CB0-BD07-444F-9FF5-244C9006A11D}"/>
            </a:ext>
          </a:extLst>
        </xdr:cNvPr>
        <xdr:cNvSpPr/>
      </xdr:nvSpPr>
      <xdr:spPr>
        <a:xfrm>
          <a:off x="4857750" y="6994071"/>
          <a:ext cx="557893" cy="721179"/>
        </a:xfrm>
        <a:prstGeom prst="stripedRight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108856</xdr:colOff>
      <xdr:row>131</xdr:row>
      <xdr:rowOff>122463</xdr:rowOff>
    </xdr:from>
    <xdr:to>
      <xdr:col>5</xdr:col>
      <xdr:colOff>762000</xdr:colOff>
      <xdr:row>134</xdr:row>
      <xdr:rowOff>136070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1BCA2AD-0F71-4BA7-BD44-DC346730C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2529" t="41672" r="49167" b="50329"/>
        <a:stretch/>
      </xdr:blipFill>
      <xdr:spPr>
        <a:xfrm>
          <a:off x="2762249" y="16791213"/>
          <a:ext cx="2381251" cy="58510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54428</xdr:colOff>
      <xdr:row>138</xdr:row>
      <xdr:rowOff>27215</xdr:rowOff>
    </xdr:from>
    <xdr:to>
      <xdr:col>7</xdr:col>
      <xdr:colOff>13608</xdr:colOff>
      <xdr:row>143</xdr:row>
      <xdr:rowOff>81645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062F635-84FC-4B47-B116-814073ABC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183" t="39625" r="72806" b="46608"/>
        <a:stretch/>
      </xdr:blipFill>
      <xdr:spPr>
        <a:xfrm>
          <a:off x="3605892" y="18029465"/>
          <a:ext cx="2993573" cy="100693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585107</xdr:colOff>
      <xdr:row>4</xdr:row>
      <xdr:rowOff>54429</xdr:rowOff>
    </xdr:from>
    <xdr:to>
      <xdr:col>1</xdr:col>
      <xdr:colOff>449036</xdr:colOff>
      <xdr:row>16</xdr:row>
      <xdr:rowOff>81643</xdr:rowOff>
    </xdr:to>
    <xdr:sp macro="" textlink="">
      <xdr:nvSpPr>
        <xdr:cNvPr id="2" name="Flecha curvada hacia la derecha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85107" y="816429"/>
          <a:ext cx="625929" cy="2122714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116633</xdr:colOff>
      <xdr:row>1</xdr:row>
      <xdr:rowOff>19438</xdr:rowOff>
    </xdr:from>
    <xdr:to>
      <xdr:col>2</xdr:col>
      <xdr:colOff>38878</xdr:colOff>
      <xdr:row>10</xdr:row>
      <xdr:rowOff>0</xdr:rowOff>
    </xdr:to>
    <xdr:sp macro="" textlink="">
      <xdr:nvSpPr>
        <xdr:cNvPr id="2" name="Flecha curvada hacia la derecha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6633" y="213826"/>
          <a:ext cx="952500" cy="1973036"/>
        </a:xfrm>
        <a:prstGeom prst="curvedRightArrow">
          <a:avLst>
            <a:gd name="adj1" fmla="val 14631"/>
            <a:gd name="adj2" fmla="val 66417"/>
            <a:gd name="adj3" fmla="val 2091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330460</xdr:colOff>
      <xdr:row>1</xdr:row>
      <xdr:rowOff>19438</xdr:rowOff>
    </xdr:from>
    <xdr:to>
      <xdr:col>2</xdr:col>
      <xdr:colOff>29159</xdr:colOff>
      <xdr:row>8</xdr:row>
      <xdr:rowOff>184669</xdr:rowOff>
    </xdr:to>
    <xdr:sp macro="" textlink="">
      <xdr:nvSpPr>
        <xdr:cNvPr id="2" name="Flecha curvada hacia la derech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30460" y="209938"/>
          <a:ext cx="1222699" cy="1498731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585107</xdr:colOff>
      <xdr:row>4</xdr:row>
      <xdr:rowOff>54429</xdr:rowOff>
    </xdr:from>
    <xdr:to>
      <xdr:col>1</xdr:col>
      <xdr:colOff>449036</xdr:colOff>
      <xdr:row>16</xdr:row>
      <xdr:rowOff>81643</xdr:rowOff>
    </xdr:to>
    <xdr:sp macro="" textlink="">
      <xdr:nvSpPr>
        <xdr:cNvPr id="2" name="Flecha curvada hacia la derecha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85107" y="825954"/>
          <a:ext cx="978354" cy="3265714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25</xdr:row>
      <xdr:rowOff>15240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4777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B104"/>
  <sheetViews>
    <sheetView topLeftCell="C34" zoomScale="70" zoomScaleNormal="70" workbookViewId="0">
      <selection activeCell="F57" sqref="F55:F57"/>
    </sheetView>
  </sheetViews>
  <sheetFormatPr baseColWidth="10" defaultRowHeight="15" x14ac:dyDescent="0.25"/>
  <cols>
    <col min="1" max="1" width="16.7109375" bestFit="1" customWidth="1"/>
    <col min="3" max="3" width="21.140625" bestFit="1" customWidth="1"/>
    <col min="4" max="4" width="21" bestFit="1" customWidth="1"/>
    <col min="5" max="5" width="13.5703125" bestFit="1" customWidth="1"/>
    <col min="8" max="8" width="10" bestFit="1" customWidth="1"/>
    <col min="9" max="9" width="8.28515625" bestFit="1" customWidth="1"/>
    <col min="10" max="10" width="11.85546875" customWidth="1"/>
    <col min="11" max="11" width="12.42578125" bestFit="1" customWidth="1"/>
    <col min="12" max="12" width="11.140625" bestFit="1" customWidth="1"/>
    <col min="13" max="13" width="34" customWidth="1"/>
    <col min="14" max="14" width="1.5703125" customWidth="1"/>
    <col min="28" max="28" width="1.85546875" customWidth="1"/>
  </cols>
  <sheetData>
    <row r="2" spans="1:28" x14ac:dyDescent="0.25">
      <c r="C2" s="71" t="s">
        <v>12</v>
      </c>
      <c r="D2" s="71" t="s">
        <v>51</v>
      </c>
    </row>
    <row r="3" spans="1:28" x14ac:dyDescent="0.25">
      <c r="C3" s="71" t="s">
        <v>11</v>
      </c>
      <c r="D3" s="71" t="s">
        <v>50</v>
      </c>
    </row>
    <row r="4" spans="1:28" ht="15.75" thickBot="1" x14ac:dyDescent="0.3">
      <c r="C4" s="71" t="s">
        <v>9</v>
      </c>
      <c r="D4" s="71" t="s">
        <v>49</v>
      </c>
    </row>
    <row r="5" spans="1:28" ht="21" x14ac:dyDescent="0.25">
      <c r="C5" s="71" t="s">
        <v>10</v>
      </c>
      <c r="D5" s="71" t="s">
        <v>48</v>
      </c>
      <c r="N5" s="26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28"/>
    </row>
    <row r="6" spans="1:28" ht="21" x14ac:dyDescent="0.25">
      <c r="C6" s="71" t="s">
        <v>7</v>
      </c>
      <c r="D6" s="71" t="s">
        <v>47</v>
      </c>
      <c r="N6" s="60"/>
      <c r="O6" s="168" t="s">
        <v>71</v>
      </c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76"/>
    </row>
    <row r="7" spans="1:28" ht="21" x14ac:dyDescent="0.25">
      <c r="C7" s="71" t="s">
        <v>6</v>
      </c>
      <c r="D7" s="71" t="s">
        <v>46</v>
      </c>
      <c r="N7" s="60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76"/>
    </row>
    <row r="8" spans="1:28" ht="21" x14ac:dyDescent="0.25">
      <c r="C8" s="71" t="s">
        <v>5</v>
      </c>
      <c r="D8" s="71" t="s">
        <v>44</v>
      </c>
      <c r="N8" s="63"/>
      <c r="O8" s="168" t="s">
        <v>80</v>
      </c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76"/>
    </row>
    <row r="9" spans="1:28" ht="21.75" thickBot="1" x14ac:dyDescent="0.3">
      <c r="C9" s="71" t="s">
        <v>96</v>
      </c>
      <c r="D9" s="71" t="s">
        <v>94</v>
      </c>
      <c r="N9" s="63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76"/>
    </row>
    <row r="10" spans="1:28" ht="21.75" thickBot="1" x14ac:dyDescent="0.3">
      <c r="C10" s="71" t="s">
        <v>4</v>
      </c>
      <c r="D10" s="71" t="s">
        <v>44</v>
      </c>
      <c r="N10" s="63"/>
      <c r="O10" s="101"/>
      <c r="P10" s="101"/>
      <c r="Q10" s="101"/>
      <c r="R10" s="101"/>
      <c r="S10" s="101"/>
      <c r="T10" s="101"/>
      <c r="U10" s="182" t="s">
        <v>14</v>
      </c>
      <c r="V10" s="183"/>
      <c r="W10" s="101"/>
      <c r="X10" s="101"/>
      <c r="Y10" s="101"/>
      <c r="Z10" s="101"/>
      <c r="AA10" s="101"/>
      <c r="AB10" s="76"/>
    </row>
    <row r="11" spans="1:28" ht="21" x14ac:dyDescent="0.25">
      <c r="C11" s="71" t="s">
        <v>3</v>
      </c>
      <c r="D11" s="71" t="s">
        <v>44</v>
      </c>
      <c r="N11" s="63"/>
      <c r="O11" s="101"/>
      <c r="P11" s="184" t="str">
        <f>D22</f>
        <v>CALIZA</v>
      </c>
      <c r="Q11" s="185"/>
      <c r="R11" s="185"/>
      <c r="S11" s="186"/>
      <c r="T11" s="116" t="str">
        <f>C62</f>
        <v>X</v>
      </c>
      <c r="U11" s="187">
        <f>D62*100</f>
        <v>-38.932192502189451</v>
      </c>
      <c r="V11" s="188"/>
      <c r="W11" s="101"/>
      <c r="X11" s="101"/>
      <c r="Y11" s="101"/>
      <c r="Z11" s="101"/>
      <c r="AA11" s="101"/>
      <c r="AB11" s="76"/>
    </row>
    <row r="12" spans="1:28" ht="21" x14ac:dyDescent="0.25">
      <c r="C12" s="71" t="s">
        <v>2</v>
      </c>
      <c r="D12" s="71" t="s">
        <v>43</v>
      </c>
      <c r="N12" s="63"/>
      <c r="O12" s="101"/>
      <c r="P12" s="177" t="str">
        <f>E22</f>
        <v>ESCORIAS DE HORNO ALTO</v>
      </c>
      <c r="Q12" s="178"/>
      <c r="R12" s="178"/>
      <c r="S12" s="179"/>
      <c r="T12" s="117" t="str">
        <f>C63</f>
        <v>Y</v>
      </c>
      <c r="U12" s="180">
        <f>D63*100</f>
        <v>-372.98524267123065</v>
      </c>
      <c r="V12" s="181"/>
      <c r="W12" s="101"/>
      <c r="X12" s="101"/>
      <c r="Y12" s="101"/>
      <c r="Z12" s="101"/>
      <c r="AA12" s="101"/>
      <c r="AB12" s="76"/>
    </row>
    <row r="13" spans="1:28" ht="21.75" thickBot="1" x14ac:dyDescent="0.3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63"/>
      <c r="O13" s="101"/>
      <c r="P13" s="172" t="str">
        <f>F22</f>
        <v>CENIZAS DE PIRITA</v>
      </c>
      <c r="Q13" s="173"/>
      <c r="R13" s="173"/>
      <c r="S13" s="174"/>
      <c r="T13" s="118" t="str">
        <f>C64</f>
        <v>q</v>
      </c>
      <c r="U13" s="175">
        <f>D64*100</f>
        <v>13720.649562407338</v>
      </c>
      <c r="V13" s="176"/>
      <c r="W13" s="101"/>
      <c r="X13" s="101"/>
      <c r="Y13" s="101"/>
      <c r="Z13" s="101"/>
      <c r="AA13" s="101"/>
      <c r="AB13" s="76"/>
    </row>
    <row r="14" spans="1:28" ht="21" x14ac:dyDescent="0.25">
      <c r="A14" s="71"/>
      <c r="B14" s="71"/>
      <c r="C14" s="161" t="s">
        <v>58</v>
      </c>
      <c r="D14" s="161"/>
      <c r="E14" s="161"/>
      <c r="F14" s="161"/>
      <c r="G14" s="161"/>
      <c r="H14" s="161"/>
      <c r="I14" s="161"/>
      <c r="J14" s="161"/>
      <c r="K14" s="161"/>
      <c r="L14" s="161"/>
      <c r="M14" s="71"/>
      <c r="N14" s="63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76"/>
    </row>
    <row r="15" spans="1:28" ht="21" x14ac:dyDescent="0.25">
      <c r="A15" s="71"/>
      <c r="B15" s="71"/>
      <c r="C15" s="71" t="s">
        <v>57</v>
      </c>
      <c r="D15" s="71" t="s">
        <v>56</v>
      </c>
      <c r="E15" s="71"/>
      <c r="F15" s="71"/>
      <c r="G15" s="71"/>
      <c r="H15" s="71"/>
      <c r="I15" s="71"/>
      <c r="J15" s="71"/>
      <c r="K15" s="71"/>
      <c r="L15" s="71"/>
      <c r="M15" s="71"/>
      <c r="N15" s="63"/>
      <c r="O15" s="168" t="s">
        <v>79</v>
      </c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76"/>
    </row>
    <row r="16" spans="1:28" ht="21.75" thickBot="1" x14ac:dyDescent="0.3">
      <c r="A16" s="71"/>
      <c r="B16" s="71"/>
      <c r="C16" s="99" t="s">
        <v>7</v>
      </c>
      <c r="D16" s="129">
        <v>0.9</v>
      </c>
      <c r="E16" s="71"/>
      <c r="F16" s="71"/>
      <c r="I16" s="71"/>
      <c r="J16" s="71"/>
      <c r="M16" s="71"/>
      <c r="N16" s="63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76"/>
    </row>
    <row r="17" spans="1:28" ht="21" x14ac:dyDescent="0.25">
      <c r="A17" s="71"/>
      <c r="B17" s="71"/>
      <c r="C17" s="99" t="s">
        <v>96</v>
      </c>
      <c r="D17" s="129">
        <v>35</v>
      </c>
      <c r="E17" s="161" t="str">
        <f>IF($C$17="CZ","CONSUMO DE CARBON"," ")</f>
        <v>CONSUMO DE CARBON</v>
      </c>
      <c r="F17" s="161"/>
      <c r="I17" s="71"/>
      <c r="J17" s="71"/>
      <c r="M17" s="71"/>
      <c r="N17" s="63"/>
      <c r="O17" s="102"/>
      <c r="P17" s="103" t="s">
        <v>33</v>
      </c>
      <c r="Q17" s="103" t="s">
        <v>32</v>
      </c>
      <c r="R17" s="103" t="s">
        <v>31</v>
      </c>
      <c r="S17" s="103" t="s">
        <v>30</v>
      </c>
      <c r="T17" s="103" t="s">
        <v>29</v>
      </c>
      <c r="U17" s="103" t="s">
        <v>28</v>
      </c>
      <c r="V17" s="103" t="s">
        <v>27</v>
      </c>
      <c r="W17" s="103" t="s">
        <v>26</v>
      </c>
      <c r="X17" s="103" t="s">
        <v>25</v>
      </c>
      <c r="Y17" s="103" t="s">
        <v>24</v>
      </c>
      <c r="Z17" s="103" t="s">
        <v>23</v>
      </c>
      <c r="AA17" s="108" t="s">
        <v>22</v>
      </c>
      <c r="AB17" s="76"/>
    </row>
    <row r="18" spans="1:28" ht="21" x14ac:dyDescent="0.25">
      <c r="A18" s="71"/>
      <c r="B18" s="71"/>
      <c r="C18" s="71"/>
      <c r="D18" s="129">
        <v>16.399999999999999</v>
      </c>
      <c r="E18" s="161" t="str">
        <f>IF($C$17="CZ","CONTENIDO DE CENIZAS","")</f>
        <v>CONTENIDO DE CENIZAS</v>
      </c>
      <c r="F18" s="161"/>
      <c r="H18" t="str">
        <f>IF($C$17="CZ","q","")</f>
        <v>q</v>
      </c>
      <c r="I18" s="71">
        <f>IF($C$17="CZ",D17*D18*D19/1000000,"")</f>
        <v>3.7310000000000003E-2</v>
      </c>
      <c r="J18" s="71"/>
      <c r="K18" s="71" t="s">
        <v>38</v>
      </c>
      <c r="L18" s="13">
        <f>IF(D23+E23&lt;&gt;0,1,0)+IF(D24+E24&lt;&gt;0,1,0)+IF(D25+E25&lt;&gt;0,1,0)+IF(D26+E26&lt;&gt;0,1,0)+IF(D27+E27&lt;&gt;0,1,0)+IF(D28+E28&lt;&gt;0,1,0)+IF(D29+E29&lt;&gt;0,1,0)+IF(D30+E30&lt;&gt;0,1,0)+IF(D31+E31&lt;&gt;0,1,0)+IF(D32+E32&lt;&gt;0,1,0)+IF(D33+E33&lt;&gt;0,1,0)+IF(D34+E34&lt;&gt;0,1,0)</f>
        <v>7</v>
      </c>
      <c r="M18" s="71"/>
      <c r="N18" s="63"/>
      <c r="O18" s="104" t="s">
        <v>16</v>
      </c>
      <c r="P18" s="109">
        <f>J70</f>
        <v>6778.7213276964476</v>
      </c>
      <c r="Q18" s="109">
        <f>J71</f>
        <v>1333.3412329273651</v>
      </c>
      <c r="R18" s="109">
        <f>J72</f>
        <v>2191.38531297999</v>
      </c>
      <c r="S18" s="109">
        <f>J73</f>
        <v>1361.8727657716818</v>
      </c>
      <c r="T18" s="109">
        <f>J74</f>
        <v>557.03438073294569</v>
      </c>
      <c r="U18" s="109">
        <f>J75</f>
        <v>902.62408024389185</v>
      </c>
      <c r="V18" s="109">
        <f>J76</f>
        <v>0</v>
      </c>
      <c r="W18" s="109">
        <f>J77</f>
        <v>183.75302688159508</v>
      </c>
      <c r="X18" s="109">
        <f>J78</f>
        <v>0</v>
      </c>
      <c r="Y18" s="109">
        <f>J79</f>
        <v>0</v>
      </c>
      <c r="Z18" s="109">
        <f>J80</f>
        <v>0</v>
      </c>
      <c r="AA18" s="109">
        <f>J81</f>
        <v>0</v>
      </c>
      <c r="AB18" s="76"/>
    </row>
    <row r="19" spans="1:28" ht="18" customHeight="1" thickBot="1" x14ac:dyDescent="0.3">
      <c r="A19" s="71"/>
      <c r="B19" s="71"/>
      <c r="D19" s="129">
        <v>65</v>
      </c>
      <c r="E19" s="161" t="str">
        <f>IF($C$17="CZ","CENIZAS ABSORVIDAS","")</f>
        <v>CENIZAS ABSORVIDAS</v>
      </c>
      <c r="F19" s="161"/>
      <c r="I19" s="71"/>
      <c r="J19" s="71"/>
      <c r="M19" s="71"/>
      <c r="N19" s="63"/>
      <c r="O19" s="106" t="s">
        <v>15</v>
      </c>
      <c r="P19" s="110">
        <f>K70</f>
        <v>6778.7213276964476</v>
      </c>
      <c r="Q19" s="110">
        <f>K71</f>
        <v>1333.3412329273651</v>
      </c>
      <c r="R19" s="110">
        <f>K72</f>
        <v>2191.38531297999</v>
      </c>
      <c r="S19" s="110">
        <f>K73</f>
        <v>1361.8727657716818</v>
      </c>
      <c r="T19" s="110">
        <f>K74</f>
        <v>557.03438073294569</v>
      </c>
      <c r="U19" s="110">
        <f>K75</f>
        <v>902.62408024389185</v>
      </c>
      <c r="V19" s="110">
        <f>K76</f>
        <v>0</v>
      </c>
      <c r="W19" s="110">
        <f>K77</f>
        <v>183.75302688159508</v>
      </c>
      <c r="X19" s="110">
        <f>K78</f>
        <v>0</v>
      </c>
      <c r="Y19" s="110">
        <f>K79</f>
        <v>0</v>
      </c>
      <c r="Z19" s="110">
        <f>K80</f>
        <v>0</v>
      </c>
      <c r="AA19" s="110">
        <f>K81</f>
        <v>0</v>
      </c>
      <c r="AB19" s="76"/>
    </row>
    <row r="20" spans="1:28" ht="21" x14ac:dyDescent="0.25">
      <c r="C20" s="71"/>
      <c r="D20" s="16"/>
      <c r="E20" s="71"/>
      <c r="F20" s="71"/>
      <c r="G20" s="71"/>
      <c r="H20" s="71"/>
      <c r="I20" s="71"/>
      <c r="J20" s="71"/>
      <c r="K20" s="71"/>
      <c r="L20" s="71"/>
      <c r="M20" s="71"/>
      <c r="N20" s="63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76"/>
    </row>
    <row r="21" spans="1:28" ht="21" x14ac:dyDescent="0.25">
      <c r="C21" s="71"/>
      <c r="D21" s="71" t="s">
        <v>37</v>
      </c>
      <c r="E21" s="71" t="s">
        <v>36</v>
      </c>
      <c r="F21" s="71" t="s">
        <v>55</v>
      </c>
      <c r="G21" s="71"/>
      <c r="H21" s="71"/>
      <c r="I21" s="71"/>
      <c r="J21" s="71" t="str">
        <f t="shared" ref="J21:L22" si="0">D21</f>
        <v>M.P. 1</v>
      </c>
      <c r="K21" s="71" t="str">
        <f t="shared" si="0"/>
        <v>M.P.2</v>
      </c>
      <c r="L21" s="71" t="str">
        <f t="shared" si="0"/>
        <v>M.P. 3</v>
      </c>
      <c r="M21" s="71"/>
      <c r="N21" s="63"/>
      <c r="O21" s="168" t="s">
        <v>13</v>
      </c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76"/>
    </row>
    <row r="22" spans="1:28" ht="21.75" thickBot="1" x14ac:dyDescent="0.3">
      <c r="C22" s="71"/>
      <c r="D22" s="71" t="s">
        <v>35</v>
      </c>
      <c r="E22" s="71" t="s">
        <v>81</v>
      </c>
      <c r="F22" s="71" t="s">
        <v>82</v>
      </c>
      <c r="G22" s="71"/>
      <c r="H22" s="71"/>
      <c r="I22" s="71"/>
      <c r="J22" s="71" t="str">
        <f t="shared" si="0"/>
        <v>CALIZA</v>
      </c>
      <c r="K22" s="71" t="str">
        <f t="shared" si="0"/>
        <v>ESCORIAS DE HORNO ALTO</v>
      </c>
      <c r="L22" s="71" t="str">
        <f t="shared" si="0"/>
        <v>CENIZAS DE PIRITA</v>
      </c>
      <c r="M22" s="71"/>
      <c r="N22" s="63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76"/>
    </row>
    <row r="23" spans="1:28" ht="21" x14ac:dyDescent="0.25">
      <c r="C23" s="71" t="s">
        <v>33</v>
      </c>
      <c r="D23" s="14">
        <v>3.89</v>
      </c>
      <c r="E23" s="14">
        <v>70.03</v>
      </c>
      <c r="F23" s="14">
        <v>51.32</v>
      </c>
      <c r="G23" s="71"/>
      <c r="H23" s="71"/>
      <c r="I23" s="71" t="str">
        <f t="shared" ref="I23:I32" si="1">C23</f>
        <v>SiO2</v>
      </c>
      <c r="J23" s="9">
        <f t="shared" ref="J23:J34" si="2">IF(D23=0,0,IF($D$36&lt;100,(IF(I23="Resto",D23+100-$D$36,D23)),IF($D$36&gt;100,D23-((D23*($D$36-100))/($D$36)),D23)))</f>
        <v>3.89</v>
      </c>
      <c r="K23" s="9">
        <f t="shared" ref="K23:K34" si="3">IF(E23=0,0,IF($E$36&lt;100,(IF(I23="Resto",E23+100-$E$36,E23)),IF($E$36&gt;100,E23-((E23*($E$36-100))/($E$36)),E23)))</f>
        <v>70.03</v>
      </c>
      <c r="L23" s="9">
        <f t="shared" ref="L23:L34" si="4">IF(F23=0,0,IF($F$36&lt;100,(IF(J23="Resto",F23+100-$F$36,F23)),IF($F$36&gt;100,F23-((F23*($F$36-100))/($F$36)),F23)))</f>
        <v>51.32</v>
      </c>
      <c r="M23" s="71"/>
      <c r="N23" s="63"/>
      <c r="O23" s="101"/>
      <c r="P23" s="101"/>
      <c r="Q23" s="101"/>
      <c r="R23" s="101"/>
      <c r="S23" s="162" t="s">
        <v>73</v>
      </c>
      <c r="T23" s="164"/>
      <c r="U23" s="103" t="str">
        <f>C87</f>
        <v>MH</v>
      </c>
      <c r="V23" s="111">
        <f>K87</f>
        <v>0.13217641147684517</v>
      </c>
      <c r="W23" s="101"/>
      <c r="X23" s="101"/>
      <c r="Y23" s="101"/>
      <c r="Z23" s="101"/>
      <c r="AA23" s="101"/>
      <c r="AB23" s="76"/>
    </row>
    <row r="24" spans="1:28" ht="21" x14ac:dyDescent="0.25">
      <c r="C24" s="71" t="s">
        <v>32</v>
      </c>
      <c r="D24" s="14">
        <v>1.93</v>
      </c>
      <c r="E24" s="14">
        <v>17.170000000000002</v>
      </c>
      <c r="F24" s="14">
        <v>10.19</v>
      </c>
      <c r="G24" s="71"/>
      <c r="H24" s="71"/>
      <c r="I24" s="71" t="str">
        <f t="shared" si="1"/>
        <v>Al2O3</v>
      </c>
      <c r="J24" s="9">
        <f t="shared" si="2"/>
        <v>1.93</v>
      </c>
      <c r="K24" s="9">
        <f t="shared" si="3"/>
        <v>17.170000000000002</v>
      </c>
      <c r="L24" s="9">
        <f t="shared" si="4"/>
        <v>10.19</v>
      </c>
      <c r="M24" s="71"/>
      <c r="N24" s="63"/>
      <c r="O24" s="101"/>
      <c r="P24" s="101"/>
      <c r="Q24" s="101"/>
      <c r="R24" s="101"/>
      <c r="S24" s="165" t="s">
        <v>72</v>
      </c>
      <c r="T24" s="167"/>
      <c r="U24" s="105" t="str">
        <f>C88</f>
        <v>SM</v>
      </c>
      <c r="V24" s="112">
        <f>K88</f>
        <v>1.9231907041320366</v>
      </c>
      <c r="W24" s="101"/>
      <c r="X24" s="101"/>
      <c r="Y24" s="101"/>
      <c r="Z24" s="101"/>
      <c r="AA24" s="101"/>
      <c r="AB24" s="76"/>
    </row>
    <row r="25" spans="1:28" ht="21.75" thickBot="1" x14ac:dyDescent="0.3">
      <c r="C25" s="71" t="s">
        <v>31</v>
      </c>
      <c r="D25" s="14">
        <v>0.93</v>
      </c>
      <c r="E25" s="14">
        <v>5</v>
      </c>
      <c r="F25" s="14">
        <v>16.11</v>
      </c>
      <c r="G25" s="71"/>
      <c r="H25" s="71"/>
      <c r="I25" s="71" t="str">
        <f t="shared" si="1"/>
        <v>Fe2O3</v>
      </c>
      <c r="J25" s="9">
        <f t="shared" si="2"/>
        <v>0.93</v>
      </c>
      <c r="K25" s="9">
        <f t="shared" si="3"/>
        <v>5</v>
      </c>
      <c r="L25" s="9">
        <f t="shared" si="4"/>
        <v>16.11</v>
      </c>
      <c r="M25" s="71"/>
      <c r="N25" s="63"/>
      <c r="O25" s="101"/>
      <c r="P25" s="101"/>
      <c r="Q25" s="101"/>
      <c r="R25" s="101"/>
      <c r="S25" s="169" t="s">
        <v>74</v>
      </c>
      <c r="T25" s="171"/>
      <c r="U25" s="107" t="str">
        <f>C89</f>
        <v>TM</v>
      </c>
      <c r="V25" s="113">
        <f>K89</f>
        <v>0.60844673231573321</v>
      </c>
      <c r="W25" s="101"/>
      <c r="X25" s="101"/>
      <c r="Y25" s="101"/>
      <c r="Z25" s="101"/>
      <c r="AA25" s="101"/>
      <c r="AB25" s="76"/>
    </row>
    <row r="26" spans="1:28" ht="21" x14ac:dyDescent="0.25">
      <c r="A26" s="71"/>
      <c r="B26" s="71"/>
      <c r="C26" s="71" t="s">
        <v>30</v>
      </c>
      <c r="D26" s="14">
        <v>91.19</v>
      </c>
      <c r="E26" s="14">
        <v>4.25</v>
      </c>
      <c r="F26" s="14">
        <v>10.3</v>
      </c>
      <c r="G26" s="71"/>
      <c r="H26" s="71"/>
      <c r="I26" s="71" t="str">
        <f t="shared" si="1"/>
        <v>CaO</v>
      </c>
      <c r="J26" s="9">
        <f t="shared" si="2"/>
        <v>91.19</v>
      </c>
      <c r="K26" s="9">
        <f t="shared" si="3"/>
        <v>4.25</v>
      </c>
      <c r="L26" s="9">
        <f t="shared" si="4"/>
        <v>10.3</v>
      </c>
      <c r="M26" s="71"/>
      <c r="N26" s="63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76"/>
    </row>
    <row r="27" spans="1:28" ht="21" x14ac:dyDescent="0.25">
      <c r="A27" s="71"/>
      <c r="B27" s="71"/>
      <c r="C27" s="71" t="s">
        <v>29</v>
      </c>
      <c r="D27" s="14">
        <v>1.41</v>
      </c>
      <c r="E27" s="14">
        <v>3.17</v>
      </c>
      <c r="F27" s="14">
        <v>4.1500000000000004</v>
      </c>
      <c r="G27" s="71"/>
      <c r="H27" s="71"/>
      <c r="I27" s="71" t="str">
        <f t="shared" si="1"/>
        <v>MgO</v>
      </c>
      <c r="J27" s="9">
        <f t="shared" si="2"/>
        <v>1.41</v>
      </c>
      <c r="K27" s="9">
        <f t="shared" si="3"/>
        <v>3.17</v>
      </c>
      <c r="L27" s="9">
        <f t="shared" si="4"/>
        <v>4.1500000000000004</v>
      </c>
      <c r="M27" s="71"/>
      <c r="N27" s="63"/>
      <c r="O27" s="168" t="s">
        <v>75</v>
      </c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76"/>
    </row>
    <row r="28" spans="1:28" ht="21.75" thickBot="1" x14ac:dyDescent="0.3">
      <c r="A28" s="71"/>
      <c r="B28" s="71"/>
      <c r="C28" s="71" t="s">
        <v>28</v>
      </c>
      <c r="D28" s="14">
        <v>0.5</v>
      </c>
      <c r="E28" s="14">
        <v>0</v>
      </c>
      <c r="F28" s="14">
        <v>6.58</v>
      </c>
      <c r="G28" s="71"/>
      <c r="H28" s="71"/>
      <c r="I28" s="71" t="str">
        <f t="shared" si="1"/>
        <v>SO3</v>
      </c>
      <c r="J28" s="9">
        <f t="shared" si="2"/>
        <v>0.5</v>
      </c>
      <c r="K28" s="9">
        <f t="shared" si="3"/>
        <v>0</v>
      </c>
      <c r="L28" s="9">
        <f t="shared" si="4"/>
        <v>6.58</v>
      </c>
      <c r="N28" s="63"/>
      <c r="O28" s="101"/>
      <c r="P28" s="101"/>
      <c r="Q28" s="101"/>
      <c r="R28" s="101"/>
      <c r="S28" s="101"/>
      <c r="T28" s="101"/>
      <c r="U28" s="101"/>
      <c r="V28" s="101"/>
      <c r="W28" s="101"/>
      <c r="X28" s="114"/>
      <c r="Y28" s="101"/>
      <c r="Z28" s="101"/>
      <c r="AA28" s="101"/>
      <c r="AB28" s="76"/>
    </row>
    <row r="29" spans="1:28" ht="21" x14ac:dyDescent="0.25">
      <c r="A29" s="71"/>
      <c r="B29" s="71"/>
      <c r="C29" s="71" t="s">
        <v>27</v>
      </c>
      <c r="D29" s="14">
        <v>0</v>
      </c>
      <c r="E29" s="14">
        <v>0</v>
      </c>
      <c r="F29" s="14">
        <v>0</v>
      </c>
      <c r="G29" s="71"/>
      <c r="H29" s="71"/>
      <c r="I29" s="71" t="str">
        <f t="shared" si="1"/>
        <v>P.C.</v>
      </c>
      <c r="J29" s="9">
        <f t="shared" si="2"/>
        <v>0</v>
      </c>
      <c r="K29" s="9">
        <f t="shared" si="3"/>
        <v>0</v>
      </c>
      <c r="L29" s="9">
        <f t="shared" si="4"/>
        <v>0</v>
      </c>
      <c r="N29" s="63"/>
      <c r="O29" s="101"/>
      <c r="P29" s="101"/>
      <c r="Q29" s="101"/>
      <c r="R29" s="162" t="s">
        <v>76</v>
      </c>
      <c r="S29" s="163"/>
      <c r="T29" s="163"/>
      <c r="U29" s="164"/>
      <c r="V29" s="103" t="str">
        <f>C98</f>
        <v>KSK</v>
      </c>
      <c r="W29" s="111">
        <f>K98</f>
        <v>-8.4567420109119343E-2</v>
      </c>
      <c r="X29" s="101"/>
      <c r="Y29" s="101"/>
      <c r="Z29" s="101"/>
      <c r="AA29" s="101"/>
      <c r="AB29" s="76"/>
    </row>
    <row r="30" spans="1:28" ht="21" x14ac:dyDescent="0.25">
      <c r="A30" s="71"/>
      <c r="B30" s="71"/>
      <c r="C30" s="71" t="s">
        <v>26</v>
      </c>
      <c r="D30" s="14">
        <v>0.15</v>
      </c>
      <c r="E30" s="14">
        <v>0.38</v>
      </c>
      <c r="F30" s="14">
        <v>1.35</v>
      </c>
      <c r="G30" s="71"/>
      <c r="H30" s="71"/>
      <c r="I30" s="71" t="str">
        <f t="shared" si="1"/>
        <v>Resto</v>
      </c>
      <c r="J30" s="9">
        <f t="shared" si="2"/>
        <v>0.15</v>
      </c>
      <c r="K30" s="9">
        <f t="shared" si="3"/>
        <v>0.38</v>
      </c>
      <c r="L30" s="9">
        <f t="shared" si="4"/>
        <v>1.35</v>
      </c>
      <c r="N30" s="63"/>
      <c r="O30" s="101"/>
      <c r="P30" s="101"/>
      <c r="Q30" s="101"/>
      <c r="R30" s="165" t="s">
        <v>77</v>
      </c>
      <c r="S30" s="166"/>
      <c r="T30" s="166"/>
      <c r="U30" s="167"/>
      <c r="V30" s="105" t="str">
        <f>C99</f>
        <v>KSt II</v>
      </c>
      <c r="W30" s="112">
        <f>K99</f>
        <v>8.0973490160375361E-2</v>
      </c>
      <c r="X30" s="168" t="e">
        <f>IF(95&lt;W31*100,"PORTLAND  DE ALTA CALIDAD",IF(90&lt;W31*100,"PORTLAND NORMAL", ANALIZAR))</f>
        <v>#NAME?</v>
      </c>
      <c r="Y30" s="168"/>
      <c r="Z30" s="168"/>
      <c r="AA30" s="168"/>
      <c r="AB30" s="76"/>
    </row>
    <row r="31" spans="1:28" ht="21.75" thickBot="1" x14ac:dyDescent="0.3">
      <c r="A31" s="71"/>
      <c r="B31" s="71"/>
      <c r="C31" s="71" t="s">
        <v>25</v>
      </c>
      <c r="D31" s="14">
        <v>0</v>
      </c>
      <c r="E31" s="14">
        <v>0</v>
      </c>
      <c r="F31" s="14">
        <v>0</v>
      </c>
      <c r="G31" s="71"/>
      <c r="H31" s="71"/>
      <c r="I31" s="71" t="str">
        <f t="shared" si="1"/>
        <v>TiO2</v>
      </c>
      <c r="J31" s="9">
        <f t="shared" si="2"/>
        <v>0</v>
      </c>
      <c r="K31" s="9">
        <f t="shared" si="3"/>
        <v>0</v>
      </c>
      <c r="L31" s="9">
        <f t="shared" si="4"/>
        <v>0</v>
      </c>
      <c r="N31" s="63"/>
      <c r="O31" s="101"/>
      <c r="P31" s="101"/>
      <c r="Q31" s="101"/>
      <c r="R31" s="169" t="s">
        <v>78</v>
      </c>
      <c r="S31" s="170"/>
      <c r="T31" s="170"/>
      <c r="U31" s="171"/>
      <c r="V31" s="107" t="str">
        <f>C100</f>
        <v>LSF</v>
      </c>
      <c r="W31" s="113">
        <f>K100</f>
        <v>3.3176167286728953E-2</v>
      </c>
      <c r="X31" s="168"/>
      <c r="Y31" s="168"/>
      <c r="Z31" s="168"/>
      <c r="AA31" s="168"/>
      <c r="AB31" s="76"/>
    </row>
    <row r="32" spans="1:28" ht="21" x14ac:dyDescent="0.25">
      <c r="A32" s="71"/>
      <c r="B32" s="71"/>
      <c r="C32" s="71" t="s">
        <v>24</v>
      </c>
      <c r="D32" s="14">
        <v>0</v>
      </c>
      <c r="E32" s="14">
        <v>0</v>
      </c>
      <c r="F32" s="14">
        <v>0</v>
      </c>
      <c r="G32" s="71"/>
      <c r="H32" s="71"/>
      <c r="I32" s="71" t="str">
        <f t="shared" si="1"/>
        <v>Mn2O3</v>
      </c>
      <c r="J32" s="9">
        <f t="shared" si="2"/>
        <v>0</v>
      </c>
      <c r="K32" s="9">
        <f t="shared" si="3"/>
        <v>0</v>
      </c>
      <c r="L32" s="9">
        <f t="shared" si="4"/>
        <v>0</v>
      </c>
      <c r="N32" s="63"/>
      <c r="O32" s="101"/>
      <c r="P32" s="101"/>
      <c r="Q32" s="101"/>
      <c r="R32" s="101"/>
      <c r="S32" s="101"/>
      <c r="T32" s="101"/>
      <c r="U32" s="101"/>
      <c r="V32" s="101"/>
      <c r="W32" s="101"/>
      <c r="X32" s="168"/>
      <c r="Y32" s="168"/>
      <c r="Z32" s="168"/>
      <c r="AA32" s="168"/>
      <c r="AB32" s="76"/>
    </row>
    <row r="33" spans="1:28" ht="21" x14ac:dyDescent="0.25">
      <c r="A33" s="71"/>
      <c r="B33" s="71"/>
      <c r="C33" s="71" t="s">
        <v>23</v>
      </c>
      <c r="D33" s="14">
        <v>0</v>
      </c>
      <c r="E33" s="14">
        <v>0</v>
      </c>
      <c r="F33" s="14">
        <v>0</v>
      </c>
      <c r="G33" s="71"/>
      <c r="H33" s="71"/>
      <c r="I33" s="71" t="str">
        <f>C33</f>
        <v>Na2O</v>
      </c>
      <c r="J33" s="9">
        <f t="shared" si="2"/>
        <v>0</v>
      </c>
      <c r="K33" s="9">
        <f t="shared" si="3"/>
        <v>0</v>
      </c>
      <c r="L33" s="9">
        <f t="shared" si="4"/>
        <v>0</v>
      </c>
      <c r="N33" s="63"/>
      <c r="O33" s="168" t="s">
        <v>89</v>
      </c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76"/>
    </row>
    <row r="34" spans="1:28" ht="21.75" thickBot="1" x14ac:dyDescent="0.3">
      <c r="A34" s="71"/>
      <c r="B34" s="71"/>
      <c r="C34" s="71" t="s">
        <v>22</v>
      </c>
      <c r="D34" s="14">
        <v>0</v>
      </c>
      <c r="E34" s="14">
        <v>0</v>
      </c>
      <c r="F34" s="14">
        <v>0</v>
      </c>
      <c r="G34" s="71"/>
      <c r="H34" s="71"/>
      <c r="I34" s="71" t="str">
        <f>C34</f>
        <v>K2O</v>
      </c>
      <c r="J34" s="9">
        <f t="shared" si="2"/>
        <v>0</v>
      </c>
      <c r="K34" s="9">
        <f t="shared" si="3"/>
        <v>0</v>
      </c>
      <c r="L34" s="9">
        <f t="shared" si="4"/>
        <v>0</v>
      </c>
      <c r="N34" s="63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76"/>
    </row>
    <row r="35" spans="1:28" ht="21.75" thickBot="1" x14ac:dyDescent="0.3">
      <c r="A35" s="71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N35" s="63"/>
      <c r="O35" s="101"/>
      <c r="P35" s="101"/>
      <c r="Q35" s="101"/>
      <c r="R35" s="101"/>
      <c r="S35" s="101"/>
      <c r="U35" s="120" t="s">
        <v>14</v>
      </c>
      <c r="V35" s="101"/>
      <c r="W35" s="101"/>
      <c r="X35" s="101"/>
      <c r="Y35" s="101"/>
      <c r="Z35" s="101"/>
      <c r="AA35" s="101"/>
      <c r="AB35" s="76"/>
    </row>
    <row r="36" spans="1:28" ht="21.75" thickBot="1" x14ac:dyDescent="0.3">
      <c r="A36" s="71"/>
      <c r="B36" s="71"/>
      <c r="C36" s="71" t="s">
        <v>21</v>
      </c>
      <c r="D36" s="13">
        <f>SUM(D23:D34)</f>
        <v>100</v>
      </c>
      <c r="E36" s="13">
        <f>SUM(E23:E34)</f>
        <v>100</v>
      </c>
      <c r="F36" s="13">
        <f>SUM(F23:F34)</f>
        <v>100</v>
      </c>
      <c r="G36" s="71"/>
      <c r="H36" s="71"/>
      <c r="I36" s="71" t="str">
        <f>C36</f>
        <v>total</v>
      </c>
      <c r="J36" s="13">
        <f>SUM(J23:J34)</f>
        <v>100</v>
      </c>
      <c r="K36" s="13">
        <f>SUM(K23:K34)</f>
        <v>100</v>
      </c>
      <c r="L36" s="13">
        <f>SUM(L23:L34)</f>
        <v>100</v>
      </c>
      <c r="N36" s="63"/>
      <c r="O36" s="101"/>
      <c r="P36" s="101"/>
      <c r="Q36" s="101"/>
      <c r="R36" s="101"/>
      <c r="S36" s="101"/>
      <c r="T36" s="119" t="s">
        <v>88</v>
      </c>
      <c r="U36" s="121">
        <f>M76*100</f>
        <v>0</v>
      </c>
      <c r="V36" s="101"/>
      <c r="W36" s="101"/>
      <c r="X36" s="101"/>
      <c r="Y36" s="101"/>
      <c r="Z36" s="101"/>
      <c r="AA36" s="101"/>
      <c r="AB36" s="76"/>
    </row>
    <row r="37" spans="1:28" ht="21" x14ac:dyDescent="0.25">
      <c r="A37" s="71"/>
      <c r="B37" s="71"/>
      <c r="N37" s="63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76"/>
    </row>
    <row r="38" spans="1:28" ht="21.75" thickBot="1" x14ac:dyDescent="0.3">
      <c r="A38" s="71"/>
      <c r="B38" s="71"/>
      <c r="N38" s="67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53"/>
    </row>
    <row r="39" spans="1:28" x14ac:dyDescent="0.25">
      <c r="A39" s="71"/>
      <c r="B39" s="71"/>
      <c r="N39" s="71"/>
      <c r="O39" s="71"/>
    </row>
    <row r="40" spans="1:28" x14ac:dyDescent="0.25">
      <c r="A40" s="71"/>
      <c r="B40" s="71"/>
      <c r="N40" s="71"/>
      <c r="O40" s="71"/>
    </row>
    <row r="41" spans="1:28" ht="15" customHeight="1" x14ac:dyDescent="0.25">
      <c r="A41" s="12"/>
      <c r="B41" s="71"/>
      <c r="C41" s="71" t="s">
        <v>96</v>
      </c>
      <c r="D41" s="71">
        <f>(2.8*$D$16*J23+1.65*J24+0.35*J25-J26)*$I$18</f>
        <v>-2.9055983320000003</v>
      </c>
      <c r="E41" s="71">
        <f>(2.8*$D$16*K23+1.65*K24+0.35*K25-K26)*$I$18</f>
        <v>7.5480405910000012</v>
      </c>
      <c r="F41" s="71">
        <f>(2.8*$D$16*L23+1.65*L24+0.35*L25-L26)*$I$18</f>
        <v>5.2785591040000002</v>
      </c>
      <c r="G41" s="71"/>
      <c r="H41" s="71"/>
      <c r="I41" s="71" t="s">
        <v>96</v>
      </c>
      <c r="J41">
        <f>(2.8*$D$17*J23+1.65*J24+0.35*J25-J26)*$I$18</f>
        <v>10.951977400000002</v>
      </c>
      <c r="K41">
        <f>(2.8*$D$17*K23+1.65*K24+0.35*K25-K26)*$I$18</f>
        <v>257.02002735500002</v>
      </c>
      <c r="L41">
        <f>(2.8*$D$17*L23+1.65*L24+0.35*L25-L26)*$I$18</f>
        <v>188.09881272000001</v>
      </c>
      <c r="N41" s="71"/>
      <c r="O41" s="71"/>
    </row>
    <row r="42" spans="1:28" x14ac:dyDescent="0.25">
      <c r="A42" s="12"/>
      <c r="C42" s="71" t="s">
        <v>12</v>
      </c>
      <c r="D42" s="72">
        <f>($D$16*(J23+J24+J25)-J26)</f>
        <v>-85.114999999999995</v>
      </c>
      <c r="E42" s="72">
        <f>($D$16*(K23+K24+K25)-K26)</f>
        <v>78.73</v>
      </c>
      <c r="F42" s="72">
        <f>($D$16*(L23+L24+L25)-L26)</f>
        <v>59.558000000000007</v>
      </c>
      <c r="G42" s="71"/>
      <c r="I42" s="71" t="s">
        <v>12</v>
      </c>
      <c r="J42" s="72">
        <f>($D$17*(J23+J24+J25)-J26)</f>
        <v>145.06</v>
      </c>
      <c r="K42" s="72">
        <f>($D$17*(K23+K24+K25)-K26)</f>
        <v>3222.75</v>
      </c>
      <c r="L42" s="72">
        <f>($D$17*(L23+L24+L25)-L26)</f>
        <v>2706.4</v>
      </c>
      <c r="M42" s="71"/>
      <c r="O42" s="71"/>
    </row>
    <row r="43" spans="1:28" x14ac:dyDescent="0.25">
      <c r="A43" s="12"/>
      <c r="C43" s="71" t="s">
        <v>11</v>
      </c>
      <c r="D43" s="72">
        <f>($D$16*(J24+J25)-J23)</f>
        <v>-1.3160000000000003</v>
      </c>
      <c r="E43" s="72">
        <f>($D$16*(K24+K25)-K23)</f>
        <v>-50.076999999999998</v>
      </c>
      <c r="F43" s="72">
        <f>($D$16*(L24+L25)-L23)</f>
        <v>-27.650000000000002</v>
      </c>
      <c r="G43" s="71"/>
      <c r="I43" s="71" t="s">
        <v>11</v>
      </c>
      <c r="J43" s="72">
        <f>($D$17*(J24+J25)-J23)</f>
        <v>96.21</v>
      </c>
      <c r="K43" s="72">
        <f>($D$17*(K24+K25)-K23)</f>
        <v>705.92000000000007</v>
      </c>
      <c r="L43" s="72">
        <f>($D$17*(L24+L25)-L23)</f>
        <v>869.17999999999984</v>
      </c>
      <c r="M43" s="71"/>
      <c r="O43" s="71"/>
    </row>
    <row r="44" spans="1:28" x14ac:dyDescent="0.25">
      <c r="A44" s="12"/>
      <c r="C44" s="71" t="s">
        <v>9</v>
      </c>
      <c r="D44" s="72">
        <f t="shared" ref="D44:F45" si="5">$D$16*J24-J23</f>
        <v>-2.1530000000000005</v>
      </c>
      <c r="E44" s="72">
        <f t="shared" si="5"/>
        <v>-54.576999999999998</v>
      </c>
      <c r="F44" s="72">
        <f t="shared" si="5"/>
        <v>-42.149000000000001</v>
      </c>
      <c r="G44" s="71"/>
      <c r="I44" s="71" t="s">
        <v>9</v>
      </c>
      <c r="J44" s="72">
        <f t="shared" ref="J44:L45" si="6">$D$17*J24-J23</f>
        <v>63.66</v>
      </c>
      <c r="K44" s="72">
        <f t="shared" si="6"/>
        <v>530.92000000000007</v>
      </c>
      <c r="L44" s="72">
        <f t="shared" si="6"/>
        <v>305.33</v>
      </c>
      <c r="M44" s="71"/>
      <c r="O44" s="71"/>
    </row>
    <row r="45" spans="1:28" x14ac:dyDescent="0.25">
      <c r="A45" s="12"/>
      <c r="C45" s="71" t="s">
        <v>10</v>
      </c>
      <c r="D45" s="72">
        <f t="shared" si="5"/>
        <v>-1.093</v>
      </c>
      <c r="E45" s="72">
        <f t="shared" si="5"/>
        <v>-12.670000000000002</v>
      </c>
      <c r="F45" s="72">
        <f t="shared" si="5"/>
        <v>4.3090000000000011</v>
      </c>
      <c r="G45" s="72"/>
      <c r="I45" s="71" t="s">
        <v>10</v>
      </c>
      <c r="J45" s="72">
        <f t="shared" si="6"/>
        <v>30.620000000000005</v>
      </c>
      <c r="K45" s="72">
        <f t="shared" si="6"/>
        <v>157.82999999999998</v>
      </c>
      <c r="L45" s="72">
        <f t="shared" si="6"/>
        <v>553.66</v>
      </c>
      <c r="M45" s="71"/>
      <c r="O45" s="71"/>
    </row>
    <row r="46" spans="1:28" x14ac:dyDescent="0.25">
      <c r="A46" s="12"/>
      <c r="C46" s="71" t="s">
        <v>7</v>
      </c>
      <c r="D46" s="72">
        <f>2.8*$D$16*J23+1.65*J24+0.35*J25-J26</f>
        <v>-77.877200000000002</v>
      </c>
      <c r="E46" s="72">
        <f>2.8*$D$16*K23+1.65*K24+0.35*K25-K26</f>
        <v>202.30610000000001</v>
      </c>
      <c r="F46" s="72">
        <f>2.8*$D$16*L23+1.65*L24+0.35*L25-L26</f>
        <v>141.47839999999999</v>
      </c>
      <c r="G46" s="72"/>
      <c r="I46" s="71" t="s">
        <v>7</v>
      </c>
      <c r="J46" s="72">
        <f>2.8*$D$17*J23+1.65*J24+0.35*J25-J26</f>
        <v>293.54000000000002</v>
      </c>
      <c r="K46" s="72">
        <f>2.8*$D$17*K23+1.65*K24+0.35*K25-K26</f>
        <v>6888.7705000000005</v>
      </c>
      <c r="L46" s="72">
        <f>2.8*$D$17*L23+1.65*L24+0.35*L25-L26</f>
        <v>5041.5119999999997</v>
      </c>
      <c r="M46" s="71"/>
      <c r="O46" s="71"/>
    </row>
    <row r="47" spans="1:28" x14ac:dyDescent="0.25">
      <c r="A47" s="12"/>
      <c r="C47" s="71" t="s">
        <v>6</v>
      </c>
      <c r="D47" s="72">
        <f>$D$16*(2.8*J23+1.65*J24+0.35*J25)-J26</f>
        <v>-78.228200000000001</v>
      </c>
      <c r="E47" s="72">
        <f>$D$16*(2.8*K23+1.65*K24+0.35*K25)-K26</f>
        <v>199.29805000000002</v>
      </c>
      <c r="F47" s="72">
        <f>$D$16*(2.8*L23+1.65*L24+0.35*L25)-L26</f>
        <v>139.23319999999998</v>
      </c>
      <c r="G47" s="72"/>
      <c r="I47" s="71" t="s">
        <v>6</v>
      </c>
      <c r="J47" s="72">
        <f>$D$17*(2.8*J23+1.65*J24+0.35*J25)-J26</f>
        <v>412.88</v>
      </c>
      <c r="K47" s="72">
        <f>$D$17*(2.8*K23+1.65*K24+0.35*K25)-K26</f>
        <v>7911.5074999999997</v>
      </c>
      <c r="L47" s="72">
        <f>$D$17*(2.8*L23+1.65*L24+0.35*L25)-L26</f>
        <v>5804.88</v>
      </c>
      <c r="M47" s="71"/>
      <c r="O47" s="71"/>
    </row>
    <row r="48" spans="1:28" x14ac:dyDescent="0.25">
      <c r="A48" s="12"/>
      <c r="C48" s="71" t="s">
        <v>5</v>
      </c>
      <c r="D48" s="72">
        <f>$D$16*(2.8*J23+1.1*J24+0.7*J25)-J26</f>
        <v>-78.890599999999992</v>
      </c>
      <c r="E48" s="72">
        <f>$D$16*(2.8*K23+1.1*K24+0.7*K25)-K26</f>
        <v>192.37390000000002</v>
      </c>
      <c r="F48" s="72">
        <f>$D$16*(2.8*L23+1.1*L24+0.7*L25)-L26</f>
        <v>139.26379999999997</v>
      </c>
      <c r="G48" s="72"/>
      <c r="I48" s="71" t="s">
        <v>5</v>
      </c>
      <c r="J48" s="72">
        <f>$D$17*(2.8*J23+1.1*J24+0.7*J25)-J26</f>
        <v>387.12</v>
      </c>
      <c r="K48" s="72">
        <f>$D$17*(2.8*K23+1.1*K24+0.7*K25)-K26</f>
        <v>7642.2350000000006</v>
      </c>
      <c r="L48" s="72">
        <f>$D$17*(2.8*L23+1.1*L24+0.7*L25)-L26</f>
        <v>5806.07</v>
      </c>
      <c r="M48" s="71"/>
      <c r="O48" s="71"/>
    </row>
    <row r="49" spans="1:15" x14ac:dyDescent="0.25">
      <c r="A49" s="12"/>
      <c r="C49" s="71" t="s">
        <v>4</v>
      </c>
      <c r="D49" s="72">
        <f>$D$16*(2.8*J23+1.18*J24+0.65*J25)-J26</f>
        <v>-78.793489999999991</v>
      </c>
      <c r="E49" s="72">
        <f>$D$16*(2.8*K23+1.18*K24+0.65*K25)-K26</f>
        <v>193.38514000000001</v>
      </c>
      <c r="F49" s="72">
        <f>$D$16*(2.8*L23+1.18*L24+0.65*L25)-L26</f>
        <v>139.27252999999999</v>
      </c>
      <c r="G49" s="72"/>
      <c r="I49" s="71" t="s">
        <v>4</v>
      </c>
      <c r="J49" s="72">
        <f>$D$17*(2.8*J23+1.18*J24+0.65*J25)-J26</f>
        <v>390.8965</v>
      </c>
      <c r="K49" s="72">
        <f>$D$17*(2.8*K23+1.18*K24+0.65*K25)-K26</f>
        <v>7681.5610000000006</v>
      </c>
      <c r="L49" s="72">
        <f>$D$17*(2.8*L23+1.18*L24+0.65*L25)-L26</f>
        <v>5806.4094999999998</v>
      </c>
      <c r="M49" s="71"/>
      <c r="O49" s="71"/>
    </row>
    <row r="50" spans="1:15" x14ac:dyDescent="0.25">
      <c r="A50" s="12"/>
      <c r="C50" s="71" t="s">
        <v>3</v>
      </c>
      <c r="D50" s="72">
        <f>$D$16*(2.8*J23+1.1*J24+0.7*J25)-J26-0.75*J27</f>
        <v>-79.948099999999997</v>
      </c>
      <c r="E50" s="72">
        <f>$D$16*(2.8*K23+1.1*K24+0.7*K25)-K26-0.75*K27</f>
        <v>189.99640000000002</v>
      </c>
      <c r="F50" s="72">
        <f>$D$16*(2.8*L23+1.1*L24+0.7*L25)-L26-0.75*L27</f>
        <v>136.15129999999996</v>
      </c>
      <c r="G50" s="72"/>
      <c r="I50" s="71" t="s">
        <v>3</v>
      </c>
      <c r="J50" s="72">
        <f>$D$17*(2.8*J23+1.1*J24+0.7*J25)-J26-0.75*J27</f>
        <v>386.0625</v>
      </c>
      <c r="K50" s="72">
        <f>$D$17*(2.8*K23+1.1*K24+0.7*K25)-K26-0.75*K27</f>
        <v>7639.857500000001</v>
      </c>
      <c r="L50" s="72">
        <f>$D$17*(2.8*L23+1.1*L24+0.7*L25)-L26-0.75*L27</f>
        <v>5802.9574999999995</v>
      </c>
      <c r="M50" s="71"/>
      <c r="O50" s="71"/>
    </row>
    <row r="51" spans="1:15" x14ac:dyDescent="0.25">
      <c r="A51" s="12"/>
      <c r="C51" s="71" t="s">
        <v>2</v>
      </c>
      <c r="D51" s="72">
        <f>$D$16*(2.8*J23+1.2*J24+0.65*J25)-J26+0.7*J28</f>
        <v>-78.408749999999998</v>
      </c>
      <c r="E51" s="72">
        <f>$D$16*(2.8*K23+1.2*K24+0.65*K25)-K26+0.7*K28</f>
        <v>193.69420000000002</v>
      </c>
      <c r="F51" s="72">
        <f>$D$16*(2.8*L23+1.2*L24+0.65*L25)-L26+0.7*L28</f>
        <v>144.06195</v>
      </c>
      <c r="G51" s="72"/>
      <c r="I51" s="71" t="s">
        <v>2</v>
      </c>
      <c r="J51" s="72">
        <f>$D$17*(2.8*J23+1.2*J24+0.65*J25)-J26+0.7*J28</f>
        <v>392.59749999999997</v>
      </c>
      <c r="K51" s="72">
        <f>$D$17*(2.8*K23+1.2*K24+0.65*K25)-K26+0.7*K28</f>
        <v>7693.5800000000008</v>
      </c>
      <c r="L51" s="72">
        <f>$D$17*(2.8*L23+1.2*L24+0.65*L25)-L26+0.7*L28</f>
        <v>5818.1484999999993</v>
      </c>
      <c r="M51" s="71"/>
      <c r="O51" s="71"/>
    </row>
    <row r="52" spans="1:15" x14ac:dyDescent="0.25">
      <c r="A52" s="12"/>
      <c r="B52" s="71"/>
      <c r="C52" s="71"/>
      <c r="D52" s="72"/>
      <c r="E52" s="72"/>
      <c r="F52" s="72"/>
      <c r="G52" s="72"/>
      <c r="H52" s="71"/>
      <c r="I52" s="71"/>
      <c r="J52" s="72"/>
      <c r="K52" s="72"/>
      <c r="L52" s="72"/>
      <c r="M52" s="71"/>
      <c r="O52" s="71"/>
    </row>
    <row r="53" spans="1:15" x14ac:dyDescent="0.25">
      <c r="A53" s="12"/>
      <c r="B53" s="71"/>
      <c r="C53" s="71"/>
      <c r="D53" s="72" t="str">
        <f t="shared" ref="D53:F54" si="7">D21</f>
        <v>M.P. 1</v>
      </c>
      <c r="E53" s="72" t="str">
        <f t="shared" si="7"/>
        <v>M.P.2</v>
      </c>
      <c r="F53" s="72" t="str">
        <f t="shared" si="7"/>
        <v>M.P. 3</v>
      </c>
      <c r="G53" s="72"/>
      <c r="H53" s="71"/>
      <c r="I53" s="71"/>
      <c r="J53" s="72"/>
      <c r="K53" s="72"/>
      <c r="L53" s="72"/>
      <c r="M53" s="71"/>
      <c r="O53" s="71"/>
    </row>
    <row r="54" spans="1:15" x14ac:dyDescent="0.25">
      <c r="A54" s="12"/>
      <c r="B54" s="71"/>
      <c r="C54" s="71"/>
      <c r="D54" s="72" t="str">
        <f t="shared" si="7"/>
        <v>CALIZA</v>
      </c>
      <c r="E54" s="72" t="str">
        <f t="shared" si="7"/>
        <v>ESCORIAS DE HORNO ALTO</v>
      </c>
      <c r="F54" s="72" t="str">
        <f t="shared" si="7"/>
        <v>CENIZAS DE PIRITA</v>
      </c>
      <c r="G54" s="72"/>
      <c r="H54" s="71"/>
      <c r="I54" s="71"/>
      <c r="J54" s="72"/>
      <c r="K54" s="72"/>
      <c r="L54" s="72"/>
      <c r="M54" s="71"/>
      <c r="O54" s="71"/>
    </row>
    <row r="55" spans="1:15" x14ac:dyDescent="0.25">
      <c r="A55" s="12"/>
      <c r="B55" s="71"/>
      <c r="C55" s="71" t="str">
        <f>C16</f>
        <v>KSK</v>
      </c>
      <c r="D55" s="72">
        <f>IF(C56="CZ",VLOOKUP(C55,C41:F51,2,FALSE)/$I$18,VLOOKUP(C56,I41:L51,2,FALSE))</f>
        <v>-2087.3009916912356</v>
      </c>
      <c r="E55" s="72">
        <f>IF(C56="CZ",VLOOKUP(C55,C41:F51,3,FALSE)/$I$18,VLOOKUP(C56,I41:L51,3,FALSE))</f>
        <v>5422.302331814527</v>
      </c>
      <c r="F55">
        <f>IF(C56="CZ",VLOOKUP(C55,C41:F51,4,FALSE),VLOOKUP(C56,I41:L51,4,FALSE))</f>
        <v>141.47839999999999</v>
      </c>
      <c r="G55" s="72" t="s">
        <v>20</v>
      </c>
      <c r="H55" s="72">
        <v>0</v>
      </c>
      <c r="I55" s="71"/>
      <c r="J55" s="72"/>
      <c r="K55" s="72"/>
      <c r="L55" s="72"/>
      <c r="M55" s="71"/>
      <c r="O55" s="71"/>
    </row>
    <row r="56" spans="1:15" x14ac:dyDescent="0.25">
      <c r="A56" s="12"/>
      <c r="B56" s="71"/>
      <c r="C56" s="71" t="str">
        <f>C17</f>
        <v>CZ</v>
      </c>
      <c r="D56" s="72">
        <f>IF(C56="CZ",VLOOKUP(C55,I41:L51,2,FALSE)/$I$18,VLOOKUP(C56,I41:L51,2,FALSE))</f>
        <v>7867.5958188153309</v>
      </c>
      <c r="E56" s="72">
        <f>IF(C56="CZ",VLOOKUP(C55,I41:L51,3,FALSE)/$I$18,VLOOKUP(C56,I41:L51,3,FALSE))</f>
        <v>184636.03591530421</v>
      </c>
      <c r="F56" s="72">
        <f>IF(C56="CZ",VLOOKUP(C55,I41:L51,4,FALSE),VLOOKUP(C56,I41:L51,4,FALSE))</f>
        <v>5041.5119999999997</v>
      </c>
      <c r="G56" s="72" t="s">
        <v>18</v>
      </c>
      <c r="H56" s="72">
        <v>0</v>
      </c>
      <c r="I56" s="71"/>
      <c r="J56" s="72"/>
      <c r="K56" s="72"/>
      <c r="L56" s="72"/>
      <c r="M56" s="71"/>
      <c r="O56" s="71"/>
    </row>
    <row r="57" spans="1:15" x14ac:dyDescent="0.25">
      <c r="A57" s="12"/>
      <c r="B57" s="71"/>
      <c r="C57" s="71" t="s">
        <v>19</v>
      </c>
      <c r="D57" s="72">
        <f>IF(C56="CZ",1/I18,1)</f>
        <v>26.802465826856068</v>
      </c>
      <c r="E57" s="72">
        <f>IF(C56="CZ",1/I18,1)</f>
        <v>26.802465826856068</v>
      </c>
      <c r="F57">
        <f>IF(C56="CZ",1,1)</f>
        <v>1</v>
      </c>
      <c r="G57" s="72" t="s">
        <v>88</v>
      </c>
      <c r="H57" s="72">
        <f>IF(C56="CZ",1/I18,1)</f>
        <v>26.802465826856068</v>
      </c>
      <c r="I57" s="71"/>
      <c r="J57" s="72"/>
      <c r="K57" s="72"/>
      <c r="L57" s="72"/>
      <c r="M57" s="71"/>
      <c r="O57" s="71"/>
    </row>
    <row r="58" spans="1:15" x14ac:dyDescent="0.25">
      <c r="A58" s="12"/>
      <c r="B58" s="71"/>
      <c r="C58" s="71"/>
      <c r="D58" s="72"/>
      <c r="E58" s="72"/>
      <c r="F58" s="72"/>
      <c r="G58" s="72"/>
      <c r="H58" s="71"/>
      <c r="I58" s="71"/>
      <c r="J58" s="72"/>
      <c r="K58" s="72"/>
      <c r="L58" s="72"/>
      <c r="M58" s="71"/>
      <c r="O58" s="71"/>
    </row>
    <row r="59" spans="1:15" x14ac:dyDescent="0.25">
      <c r="A59" s="71"/>
      <c r="B59" s="71"/>
      <c r="C59" s="71"/>
      <c r="D59" s="72"/>
      <c r="E59" s="72"/>
      <c r="F59" s="72"/>
      <c r="G59" s="72"/>
      <c r="H59" s="71"/>
      <c r="I59" s="71"/>
      <c r="J59" s="72"/>
      <c r="K59" s="72"/>
      <c r="L59" s="72"/>
      <c r="M59" s="71"/>
      <c r="O59" s="71"/>
    </row>
    <row r="60" spans="1:15" x14ac:dyDescent="0.25">
      <c r="A60" s="71"/>
      <c r="B60" s="71"/>
      <c r="C60" s="71"/>
      <c r="D60" s="72"/>
      <c r="E60" s="72"/>
      <c r="F60" s="72"/>
      <c r="G60" s="72"/>
      <c r="H60" s="71"/>
      <c r="I60" s="71"/>
      <c r="J60" s="72"/>
      <c r="K60" s="72"/>
      <c r="L60" s="72"/>
      <c r="M60" s="71"/>
      <c r="O60" s="71"/>
    </row>
    <row r="61" spans="1:15" x14ac:dyDescent="0.25">
      <c r="A61" s="66"/>
      <c r="B61" s="71"/>
      <c r="C61" s="71"/>
      <c r="D61" s="72"/>
      <c r="E61" s="72"/>
      <c r="F61" s="72"/>
      <c r="G61" s="72"/>
      <c r="H61" s="71"/>
      <c r="I61" s="71"/>
      <c r="J61" s="72"/>
      <c r="K61" s="72"/>
      <c r="L61" s="72"/>
      <c r="M61" s="71"/>
      <c r="O61" s="71"/>
    </row>
    <row r="62" spans="1:15" x14ac:dyDescent="0.25">
      <c r="A62" s="66"/>
      <c r="B62" s="71"/>
      <c r="C62" s="11" t="str">
        <f>G55</f>
        <v>X</v>
      </c>
      <c r="D62" s="3">
        <f t="array" ref="D62:D64">MMULT(MINVERSE(D55:F57),H55:H57)</f>
        <v>-0.3893219250218945</v>
      </c>
      <c r="E62" s="72"/>
      <c r="F62" s="72"/>
      <c r="G62" s="72"/>
      <c r="H62" s="71"/>
      <c r="I62" s="71"/>
      <c r="J62" s="72"/>
      <c r="K62" s="72"/>
      <c r="L62" s="72"/>
      <c r="M62" s="71"/>
      <c r="O62" s="71"/>
    </row>
    <row r="63" spans="1:15" x14ac:dyDescent="0.25">
      <c r="A63" s="66"/>
      <c r="B63" s="71"/>
      <c r="C63" s="11" t="str">
        <f>G56</f>
        <v>Y</v>
      </c>
      <c r="D63" s="3">
        <v>-3.7298524267123065</v>
      </c>
      <c r="J63" s="72"/>
      <c r="K63" s="72"/>
      <c r="L63" s="72"/>
      <c r="M63" s="71"/>
      <c r="O63" s="71"/>
    </row>
    <row r="64" spans="1:15" x14ac:dyDescent="0.25">
      <c r="A64" s="66"/>
      <c r="B64" s="71"/>
      <c r="C64" s="11" t="str">
        <f>G57</f>
        <v>q</v>
      </c>
      <c r="D64" s="3">
        <v>137.20649562407337</v>
      </c>
      <c r="J64" s="72"/>
      <c r="K64" s="72"/>
      <c r="L64" s="72"/>
      <c r="M64" s="71"/>
      <c r="O64" s="71"/>
    </row>
    <row r="65" spans="1:15" x14ac:dyDescent="0.25">
      <c r="A65" s="66"/>
      <c r="B65" s="71"/>
      <c r="C65" s="71"/>
      <c r="J65" s="72"/>
      <c r="K65" s="72"/>
      <c r="L65" s="72"/>
      <c r="M65" s="71"/>
      <c r="O65" s="71"/>
    </row>
    <row r="66" spans="1:15" x14ac:dyDescent="0.25">
      <c r="A66" s="66"/>
      <c r="B66" s="71"/>
      <c r="C66" s="72"/>
      <c r="D66" s="72"/>
      <c r="E66" s="71"/>
      <c r="F66" s="71"/>
      <c r="G66" s="71"/>
      <c r="H66" s="71"/>
      <c r="I66" s="71"/>
      <c r="N66" s="71"/>
      <c r="O66" s="71"/>
    </row>
    <row r="67" spans="1:15" ht="17.25" customHeight="1" x14ac:dyDescent="0.25">
      <c r="A67" s="66"/>
      <c r="B67" s="71"/>
      <c r="C67" s="71"/>
      <c r="D67" s="71" t="str">
        <f>D21</f>
        <v>M.P. 1</v>
      </c>
      <c r="E67" s="71" t="str">
        <f>E21</f>
        <v>M.P.2</v>
      </c>
      <c r="F67" s="71" t="s">
        <v>52</v>
      </c>
      <c r="G67" s="71"/>
      <c r="H67" s="71"/>
      <c r="I67" s="71"/>
      <c r="J67" s="71"/>
      <c r="K67" s="71"/>
      <c r="L67" s="71"/>
      <c r="M67" s="71"/>
      <c r="N67" s="71"/>
      <c r="O67" s="71"/>
    </row>
    <row r="68" spans="1:15" ht="11.25" customHeight="1" x14ac:dyDescent="0.25">
      <c r="A68" s="66"/>
      <c r="B68" s="71"/>
      <c r="C68" s="71"/>
      <c r="D68" s="71" t="str">
        <f>D22</f>
        <v>CALIZA</v>
      </c>
      <c r="E68" s="71" t="str">
        <f>E22</f>
        <v>ESCORIAS DE HORNO ALTO</v>
      </c>
      <c r="F68" s="71" t="str">
        <f>F22</f>
        <v>CENIZAS DE PIRITA</v>
      </c>
      <c r="G68" s="71" t="str">
        <f>D68</f>
        <v>CALIZA</v>
      </c>
      <c r="H68" s="71" t="str">
        <f>E68</f>
        <v>ESCORIAS DE HORNO ALTO</v>
      </c>
      <c r="I68" s="71" t="str">
        <f>F68</f>
        <v>CENIZAS DE PIRITA</v>
      </c>
      <c r="J68" s="71" t="s">
        <v>16</v>
      </c>
      <c r="K68" s="71" t="s">
        <v>15</v>
      </c>
      <c r="M68" s="71" t="s">
        <v>87</v>
      </c>
      <c r="N68" s="71"/>
      <c r="O68" s="71"/>
    </row>
    <row r="69" spans="1:15" x14ac:dyDescent="0.25">
      <c r="A69" s="66"/>
      <c r="B69" s="71"/>
      <c r="C69" s="71"/>
      <c r="D69" s="71"/>
      <c r="E69" s="71"/>
      <c r="F69" s="71"/>
      <c r="G69" s="2">
        <f>D62</f>
        <v>-0.3893219250218945</v>
      </c>
      <c r="H69" s="2">
        <f>D63</f>
        <v>-3.7298524267123065</v>
      </c>
      <c r="I69" s="2">
        <f>D64</f>
        <v>137.20649562407337</v>
      </c>
      <c r="J69" s="71"/>
      <c r="K69" s="71"/>
      <c r="M69" s="71"/>
      <c r="N69" s="71"/>
      <c r="O69" s="71"/>
    </row>
    <row r="70" spans="1:15" x14ac:dyDescent="0.25">
      <c r="A70" s="66"/>
      <c r="B70" s="71"/>
      <c r="C70" s="71" t="str">
        <f t="shared" ref="C70:C81" si="8">I23</f>
        <v>SiO2</v>
      </c>
      <c r="D70" s="9">
        <f t="shared" ref="D70:D81" si="9">J23</f>
        <v>3.89</v>
      </c>
      <c r="E70" s="9">
        <f t="shared" ref="E70:E81" si="10">K23</f>
        <v>70.03</v>
      </c>
      <c r="F70" s="9">
        <f t="shared" ref="F70:F81" si="11">L23</f>
        <v>51.32</v>
      </c>
      <c r="G70" s="8">
        <f t="shared" ref="G70:G81" si="12">D70*$G$69</f>
        <v>-1.5144622883351697</v>
      </c>
      <c r="H70" s="8">
        <f t="shared" ref="H70:H81" si="13">E70*$H$69</f>
        <v>-261.20156544266285</v>
      </c>
      <c r="I70" s="8">
        <f t="shared" ref="I70:I81" si="14">F70*$I$69</f>
        <v>7041.4373554274453</v>
      </c>
      <c r="J70" s="4">
        <f t="shared" ref="J70:J81" si="15">H70+G70+I70</f>
        <v>6778.7213276964476</v>
      </c>
      <c r="K70" s="3">
        <f t="shared" ref="K70:K81" si="16">IF(C70&lt;&gt;"P.C.",J70+((J70*$J$76)/(100-$J$76)),0)</f>
        <v>6778.7213276964476</v>
      </c>
      <c r="L70" t="s">
        <v>84</v>
      </c>
      <c r="M70" s="71">
        <f>(K70-J70)/(F70-J70)</f>
        <v>0</v>
      </c>
      <c r="N70" s="71"/>
      <c r="O70" s="71"/>
    </row>
    <row r="71" spans="1:15" x14ac:dyDescent="0.25">
      <c r="A71" s="66"/>
      <c r="B71" s="71"/>
      <c r="C71" s="71" t="str">
        <f t="shared" si="8"/>
        <v>Al2O3</v>
      </c>
      <c r="D71" s="9">
        <f t="shared" si="9"/>
        <v>1.93</v>
      </c>
      <c r="E71" s="9">
        <f t="shared" si="10"/>
        <v>17.170000000000002</v>
      </c>
      <c r="F71" s="9">
        <f t="shared" si="11"/>
        <v>10.19</v>
      </c>
      <c r="G71" s="8">
        <f t="shared" si="12"/>
        <v>-0.75139131529225633</v>
      </c>
      <c r="H71" s="8">
        <f t="shared" si="13"/>
        <v>-64.041566166650313</v>
      </c>
      <c r="I71" s="8">
        <f t="shared" si="14"/>
        <v>1398.1341904093076</v>
      </c>
      <c r="J71" s="4">
        <f t="shared" si="15"/>
        <v>1333.3412329273651</v>
      </c>
      <c r="K71" s="3">
        <f t="shared" si="16"/>
        <v>1333.3412329273651</v>
      </c>
      <c r="L71" t="s">
        <v>85</v>
      </c>
      <c r="M71" s="71">
        <f>(K71-J71)/(F71-J71)</f>
        <v>0</v>
      </c>
      <c r="N71" s="71"/>
      <c r="O71" s="71"/>
    </row>
    <row r="72" spans="1:15" x14ac:dyDescent="0.25">
      <c r="A72" s="66"/>
      <c r="B72" s="71"/>
      <c r="C72" s="71" t="str">
        <f t="shared" si="8"/>
        <v>Fe2O3</v>
      </c>
      <c r="D72" s="9">
        <f t="shared" si="9"/>
        <v>0.93</v>
      </c>
      <c r="E72" s="9">
        <f t="shared" si="10"/>
        <v>5</v>
      </c>
      <c r="F72" s="9">
        <f t="shared" si="11"/>
        <v>16.11</v>
      </c>
      <c r="G72" s="8">
        <f t="shared" si="12"/>
        <v>-0.36206939027036189</v>
      </c>
      <c r="H72" s="8">
        <f t="shared" si="13"/>
        <v>-18.649262133561532</v>
      </c>
      <c r="I72" s="8">
        <f t="shared" si="14"/>
        <v>2210.3966445038218</v>
      </c>
      <c r="J72" s="4">
        <f t="shared" si="15"/>
        <v>2191.38531297999</v>
      </c>
      <c r="K72" s="3">
        <f t="shared" si="16"/>
        <v>2191.38531297999</v>
      </c>
      <c r="L72" t="s">
        <v>86</v>
      </c>
      <c r="M72" s="71">
        <f>(K72-J72)/(F72-J72)</f>
        <v>0</v>
      </c>
      <c r="N72" s="71"/>
      <c r="O72" s="71"/>
    </row>
    <row r="73" spans="1:15" x14ac:dyDescent="0.25">
      <c r="A73" s="66"/>
      <c r="B73" s="71"/>
      <c r="C73" s="71" t="str">
        <f t="shared" si="8"/>
        <v>CaO</v>
      </c>
      <c r="D73" s="9">
        <f t="shared" si="9"/>
        <v>91.19</v>
      </c>
      <c r="E73" s="9">
        <f t="shared" si="10"/>
        <v>4.25</v>
      </c>
      <c r="F73" s="9">
        <f t="shared" si="11"/>
        <v>10.3</v>
      </c>
      <c r="G73" s="8">
        <f t="shared" si="12"/>
        <v>-35.502266342746559</v>
      </c>
      <c r="H73" s="8">
        <f t="shared" si="13"/>
        <v>-15.851872813527303</v>
      </c>
      <c r="I73" s="8">
        <f t="shared" si="14"/>
        <v>1413.2269049279557</v>
      </c>
      <c r="J73" s="4">
        <f t="shared" si="15"/>
        <v>1361.8727657716818</v>
      </c>
      <c r="K73" s="3">
        <f t="shared" si="16"/>
        <v>1361.8727657716818</v>
      </c>
      <c r="L73" t="s">
        <v>83</v>
      </c>
      <c r="M73" s="71">
        <f>(K73-J73)/(F73-J73)</f>
        <v>0</v>
      </c>
      <c r="N73" s="71"/>
      <c r="O73" s="71"/>
    </row>
    <row r="74" spans="1:15" x14ac:dyDescent="0.25">
      <c r="A74" s="66"/>
      <c r="B74" s="71"/>
      <c r="C74" s="71" t="str">
        <f t="shared" si="8"/>
        <v>MgO</v>
      </c>
      <c r="D74" s="9">
        <f t="shared" si="9"/>
        <v>1.41</v>
      </c>
      <c r="E74" s="9">
        <f t="shared" si="10"/>
        <v>3.17</v>
      </c>
      <c r="F74" s="9">
        <f t="shared" si="11"/>
        <v>4.1500000000000004</v>
      </c>
      <c r="G74" s="8">
        <f t="shared" si="12"/>
        <v>-0.54894391428087119</v>
      </c>
      <c r="H74" s="8">
        <f t="shared" si="13"/>
        <v>-11.823632192678012</v>
      </c>
      <c r="I74" s="8">
        <f t="shared" si="14"/>
        <v>569.40695683990452</v>
      </c>
      <c r="J74" s="4">
        <f t="shared" si="15"/>
        <v>557.03438073294569</v>
      </c>
      <c r="K74" s="3">
        <f t="shared" si="16"/>
        <v>557.03438073294569</v>
      </c>
      <c r="M74" s="71"/>
      <c r="N74" s="71"/>
      <c r="O74" s="71"/>
    </row>
    <row r="75" spans="1:15" x14ac:dyDescent="0.25">
      <c r="A75" s="66"/>
      <c r="B75" s="71"/>
      <c r="C75" s="71" t="str">
        <f t="shared" si="8"/>
        <v>SO3</v>
      </c>
      <c r="D75" s="9">
        <f t="shared" si="9"/>
        <v>0.5</v>
      </c>
      <c r="E75" s="9">
        <f t="shared" si="10"/>
        <v>0</v>
      </c>
      <c r="F75" s="9">
        <f t="shared" si="11"/>
        <v>6.58</v>
      </c>
      <c r="G75" s="8">
        <f t="shared" si="12"/>
        <v>-0.19466096251094725</v>
      </c>
      <c r="H75" s="8">
        <f t="shared" si="13"/>
        <v>0</v>
      </c>
      <c r="I75" s="8">
        <f t="shared" si="14"/>
        <v>902.81874120640282</v>
      </c>
      <c r="J75" s="4">
        <f t="shared" si="15"/>
        <v>902.62408024389185</v>
      </c>
      <c r="K75" s="3">
        <f t="shared" si="16"/>
        <v>902.62408024389185</v>
      </c>
      <c r="M75" s="71" t="s">
        <v>88</v>
      </c>
      <c r="N75" s="71"/>
      <c r="O75" s="71"/>
    </row>
    <row r="76" spans="1:15" x14ac:dyDescent="0.25">
      <c r="A76" s="66"/>
      <c r="B76" s="71"/>
      <c r="C76" s="71" t="str">
        <f t="shared" si="8"/>
        <v>P.C.</v>
      </c>
      <c r="D76" s="9">
        <f t="shared" si="9"/>
        <v>0</v>
      </c>
      <c r="E76" s="9">
        <f t="shared" si="10"/>
        <v>0</v>
      </c>
      <c r="F76" s="9">
        <f t="shared" si="11"/>
        <v>0</v>
      </c>
      <c r="G76" s="8">
        <f t="shared" si="12"/>
        <v>0</v>
      </c>
      <c r="H76" s="8">
        <f t="shared" si="13"/>
        <v>0</v>
      </c>
      <c r="I76" s="8">
        <f t="shared" si="14"/>
        <v>0</v>
      </c>
      <c r="J76" s="4">
        <f t="shared" si="15"/>
        <v>0</v>
      </c>
      <c r="K76" s="3">
        <f t="shared" si="16"/>
        <v>0</v>
      </c>
      <c r="M76" s="71">
        <f>AVERAGE(M70:M73)</f>
        <v>0</v>
      </c>
      <c r="N76" s="71"/>
      <c r="O76" s="71"/>
    </row>
    <row r="77" spans="1:15" x14ac:dyDescent="0.25">
      <c r="A77" s="66"/>
      <c r="B77" s="71"/>
      <c r="C77" s="71" t="str">
        <f t="shared" si="8"/>
        <v>Resto</v>
      </c>
      <c r="D77" s="9">
        <f t="shared" si="9"/>
        <v>0.15</v>
      </c>
      <c r="E77" s="9">
        <f t="shared" si="10"/>
        <v>0.38</v>
      </c>
      <c r="F77" s="9">
        <f t="shared" si="11"/>
        <v>1.35</v>
      </c>
      <c r="G77" s="8">
        <f t="shared" si="12"/>
        <v>-5.8398288753284171E-2</v>
      </c>
      <c r="H77" s="8">
        <f t="shared" si="13"/>
        <v>-1.4173439221506765</v>
      </c>
      <c r="I77" s="8">
        <f t="shared" si="14"/>
        <v>185.22876909249905</v>
      </c>
      <c r="J77" s="4">
        <f t="shared" si="15"/>
        <v>183.75302688159508</v>
      </c>
      <c r="K77" s="3">
        <f t="shared" si="16"/>
        <v>183.75302688159508</v>
      </c>
      <c r="M77" s="71"/>
      <c r="N77" s="71"/>
      <c r="O77" s="71"/>
    </row>
    <row r="78" spans="1:15" x14ac:dyDescent="0.25">
      <c r="A78" s="66"/>
      <c r="B78" s="71"/>
      <c r="C78" s="71" t="str">
        <f t="shared" si="8"/>
        <v>TiO2</v>
      </c>
      <c r="D78" s="9">
        <f t="shared" si="9"/>
        <v>0</v>
      </c>
      <c r="E78" s="9">
        <f t="shared" si="10"/>
        <v>0</v>
      </c>
      <c r="F78" s="9">
        <f t="shared" si="11"/>
        <v>0</v>
      </c>
      <c r="G78" s="8">
        <f t="shared" si="12"/>
        <v>0</v>
      </c>
      <c r="H78" s="8">
        <f t="shared" si="13"/>
        <v>0</v>
      </c>
      <c r="I78" s="8">
        <f t="shared" si="14"/>
        <v>0</v>
      </c>
      <c r="J78" s="4">
        <f t="shared" si="15"/>
        <v>0</v>
      </c>
      <c r="K78" s="3">
        <f t="shared" si="16"/>
        <v>0</v>
      </c>
      <c r="M78" s="71"/>
      <c r="N78" s="71"/>
      <c r="O78" s="71"/>
    </row>
    <row r="79" spans="1:15" x14ac:dyDescent="0.25">
      <c r="A79" s="66"/>
      <c r="B79" s="71"/>
      <c r="C79" s="71" t="str">
        <f t="shared" si="8"/>
        <v>Mn2O3</v>
      </c>
      <c r="D79" s="9">
        <f t="shared" si="9"/>
        <v>0</v>
      </c>
      <c r="E79" s="9">
        <f t="shared" si="10"/>
        <v>0</v>
      </c>
      <c r="F79" s="9">
        <f t="shared" si="11"/>
        <v>0</v>
      </c>
      <c r="G79" s="8">
        <f t="shared" si="12"/>
        <v>0</v>
      </c>
      <c r="H79" s="8">
        <f t="shared" si="13"/>
        <v>0</v>
      </c>
      <c r="I79" s="8">
        <f t="shared" si="14"/>
        <v>0</v>
      </c>
      <c r="J79" s="4">
        <f t="shared" si="15"/>
        <v>0</v>
      </c>
      <c r="K79" s="3">
        <f t="shared" si="16"/>
        <v>0</v>
      </c>
      <c r="M79" s="71"/>
      <c r="N79" s="71"/>
      <c r="O79" s="71"/>
    </row>
    <row r="80" spans="1:15" x14ac:dyDescent="0.25">
      <c r="A80" s="66"/>
      <c r="B80" s="71"/>
      <c r="C80" s="71" t="str">
        <f t="shared" si="8"/>
        <v>Na2O</v>
      </c>
      <c r="D80" s="9">
        <f t="shared" si="9"/>
        <v>0</v>
      </c>
      <c r="E80" s="9">
        <f t="shared" si="10"/>
        <v>0</v>
      </c>
      <c r="F80" s="9">
        <f t="shared" si="11"/>
        <v>0</v>
      </c>
      <c r="G80" s="8">
        <f t="shared" si="12"/>
        <v>0</v>
      </c>
      <c r="H80" s="8">
        <f t="shared" si="13"/>
        <v>0</v>
      </c>
      <c r="I80" s="8">
        <f t="shared" si="14"/>
        <v>0</v>
      </c>
      <c r="J80" s="4">
        <f t="shared" si="15"/>
        <v>0</v>
      </c>
      <c r="K80" s="3">
        <f t="shared" si="16"/>
        <v>0</v>
      </c>
      <c r="M80" s="71"/>
      <c r="N80" s="71"/>
      <c r="O80" s="71"/>
    </row>
    <row r="81" spans="1:15" x14ac:dyDescent="0.25">
      <c r="A81" s="66"/>
      <c r="B81" s="71"/>
      <c r="C81" s="71" t="str">
        <f t="shared" si="8"/>
        <v>K2O</v>
      </c>
      <c r="D81" s="9">
        <f t="shared" si="9"/>
        <v>0</v>
      </c>
      <c r="E81" s="9">
        <f t="shared" si="10"/>
        <v>0</v>
      </c>
      <c r="F81" s="9">
        <f t="shared" si="11"/>
        <v>0</v>
      </c>
      <c r="G81" s="8">
        <f t="shared" si="12"/>
        <v>0</v>
      </c>
      <c r="H81" s="8">
        <f t="shared" si="13"/>
        <v>0</v>
      </c>
      <c r="I81" s="8">
        <f t="shared" si="14"/>
        <v>0</v>
      </c>
      <c r="J81" s="4">
        <f t="shared" si="15"/>
        <v>0</v>
      </c>
      <c r="K81" s="3">
        <f t="shared" si="16"/>
        <v>0</v>
      </c>
      <c r="M81" s="71"/>
      <c r="N81" s="71"/>
      <c r="O81" s="71"/>
    </row>
    <row r="82" spans="1:15" x14ac:dyDescent="0.25">
      <c r="A82" s="66"/>
      <c r="B82" s="71"/>
      <c r="C82" s="71"/>
      <c r="D82" s="71"/>
      <c r="E82" s="71"/>
      <c r="F82" s="71"/>
      <c r="G82" s="2"/>
      <c r="H82" s="2"/>
      <c r="I82" s="2"/>
      <c r="J82" s="71"/>
      <c r="K82" s="71"/>
      <c r="M82" s="71"/>
      <c r="N82" s="71"/>
      <c r="O82" s="71"/>
    </row>
    <row r="83" spans="1:15" x14ac:dyDescent="0.25">
      <c r="A83" s="66"/>
      <c r="B83" s="71"/>
      <c r="C83" s="71" t="s">
        <v>14</v>
      </c>
      <c r="D83" s="7">
        <f t="shared" ref="D83:K83" si="17">SUM(D70:D81)</f>
        <v>100</v>
      </c>
      <c r="E83" s="7">
        <f t="shared" si="17"/>
        <v>100</v>
      </c>
      <c r="F83" s="7">
        <f t="shared" si="17"/>
        <v>100</v>
      </c>
      <c r="G83" s="7">
        <f t="shared" si="17"/>
        <v>-38.932192502189444</v>
      </c>
      <c r="H83" s="7">
        <f t="shared" si="17"/>
        <v>-372.98524267123071</v>
      </c>
      <c r="I83" s="7">
        <f t="shared" si="17"/>
        <v>13720.649562407336</v>
      </c>
      <c r="J83" s="7">
        <f t="shared" si="17"/>
        <v>13308.732127233918</v>
      </c>
      <c r="K83" s="7">
        <f t="shared" si="17"/>
        <v>13308.732127233918</v>
      </c>
      <c r="M83" s="71"/>
      <c r="N83" s="71"/>
      <c r="O83" s="71"/>
    </row>
    <row r="84" spans="1:15" x14ac:dyDescent="0.25">
      <c r="A84" s="66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</row>
    <row r="85" spans="1:15" x14ac:dyDescent="0.25">
      <c r="A85" s="66"/>
      <c r="B85" s="71"/>
      <c r="C85" s="161" t="s">
        <v>13</v>
      </c>
      <c r="D85" s="161"/>
      <c r="E85" s="161"/>
      <c r="F85" s="161"/>
      <c r="G85" s="161"/>
      <c r="H85" s="161"/>
      <c r="I85" s="161"/>
      <c r="J85" s="161"/>
      <c r="K85" s="161"/>
      <c r="L85" s="161"/>
      <c r="M85" s="71"/>
      <c r="N85" s="71"/>
      <c r="O85" s="71"/>
    </row>
    <row r="86" spans="1:15" x14ac:dyDescent="0.25">
      <c r="A86" s="66"/>
      <c r="B86" s="7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71"/>
      <c r="N86" s="71"/>
      <c r="O86" s="71"/>
    </row>
    <row r="87" spans="1:15" x14ac:dyDescent="0.25">
      <c r="A87" s="66"/>
      <c r="C87" s="71" t="s">
        <v>12</v>
      </c>
      <c r="D87" s="2">
        <f t="shared" ref="D87:K87" si="18">D73/(D72+D71+D70)</f>
        <v>13.509629629629629</v>
      </c>
      <c r="E87" s="2">
        <f t="shared" si="18"/>
        <v>4.6095444685466377E-2</v>
      </c>
      <c r="F87" s="2">
        <f t="shared" si="18"/>
        <v>0.132697758309714</v>
      </c>
      <c r="G87" s="2">
        <f t="shared" si="18"/>
        <v>13.509629629629629</v>
      </c>
      <c r="H87" s="2">
        <f t="shared" si="18"/>
        <v>4.6095444685466377E-2</v>
      </c>
      <c r="I87" s="2">
        <f t="shared" si="18"/>
        <v>0.132697758309714</v>
      </c>
      <c r="J87" s="4">
        <f t="shared" si="18"/>
        <v>0.13217641147684517</v>
      </c>
      <c r="K87" s="6">
        <f t="shared" si="18"/>
        <v>0.13217641147684517</v>
      </c>
      <c r="L87" s="71" t="str">
        <f>C87</f>
        <v>MH</v>
      </c>
      <c r="M87" s="71"/>
      <c r="O87" s="71"/>
    </row>
    <row r="88" spans="1:15" x14ac:dyDescent="0.25">
      <c r="A88" s="66"/>
      <c r="C88" s="71" t="s">
        <v>11</v>
      </c>
      <c r="D88" s="2">
        <f t="shared" ref="D88:K88" si="19">D70/(D71+D72)</f>
        <v>1.3601398601398602</v>
      </c>
      <c r="E88" s="2">
        <f t="shared" si="19"/>
        <v>3.1587731168245377</v>
      </c>
      <c r="F88" s="2">
        <f t="shared" si="19"/>
        <v>1.9513307984790877</v>
      </c>
      <c r="G88" s="2">
        <f t="shared" si="19"/>
        <v>1.3601398601398602</v>
      </c>
      <c r="H88" s="2">
        <f t="shared" si="19"/>
        <v>3.1587731168245377</v>
      </c>
      <c r="I88" s="2">
        <f t="shared" si="19"/>
        <v>1.9513307984790877</v>
      </c>
      <c r="J88" s="4">
        <f t="shared" si="19"/>
        <v>1.9231907041320366</v>
      </c>
      <c r="K88" s="6">
        <f t="shared" si="19"/>
        <v>1.9231907041320366</v>
      </c>
      <c r="L88" s="71" t="str">
        <f>C88</f>
        <v>SM</v>
      </c>
      <c r="M88" s="71"/>
      <c r="O88" s="71"/>
    </row>
    <row r="89" spans="1:15" x14ac:dyDescent="0.25">
      <c r="A89" s="66"/>
      <c r="C89" s="71" t="s">
        <v>10</v>
      </c>
      <c r="D89" s="2">
        <f t="shared" ref="D89:K89" si="20">D71/D72</f>
        <v>2.075268817204301</v>
      </c>
      <c r="E89" s="2">
        <f t="shared" si="20"/>
        <v>3.4340000000000002</v>
      </c>
      <c r="F89" s="2">
        <f t="shared" si="20"/>
        <v>0.63252638112973303</v>
      </c>
      <c r="G89" s="2">
        <f t="shared" si="20"/>
        <v>2.075268817204301</v>
      </c>
      <c r="H89" s="2">
        <f t="shared" si="20"/>
        <v>3.4340000000000006</v>
      </c>
      <c r="I89" s="2">
        <f t="shared" si="20"/>
        <v>0.63252638112973314</v>
      </c>
      <c r="J89" s="4">
        <f t="shared" si="20"/>
        <v>0.60844673231573321</v>
      </c>
      <c r="K89" s="6">
        <f t="shared" si="20"/>
        <v>0.60844673231573321</v>
      </c>
      <c r="L89" s="71" t="str">
        <f>C89</f>
        <v>TM</v>
      </c>
      <c r="M89" s="71"/>
      <c r="O89" s="71"/>
    </row>
    <row r="90" spans="1:15" x14ac:dyDescent="0.25">
      <c r="A90" s="66"/>
      <c r="C90" s="71" t="s">
        <v>9</v>
      </c>
      <c r="D90" s="2">
        <f t="shared" ref="D90:K90" si="21">D70/D71</f>
        <v>2.0155440414507773</v>
      </c>
      <c r="E90" s="2">
        <f t="shared" si="21"/>
        <v>4.0786255096097843</v>
      </c>
      <c r="F90" s="2">
        <f t="shared" si="21"/>
        <v>5.03631010794897</v>
      </c>
      <c r="G90" s="2">
        <f t="shared" si="21"/>
        <v>2.0155440414507777</v>
      </c>
      <c r="H90" s="2">
        <f t="shared" si="21"/>
        <v>4.0786255096097843</v>
      </c>
      <c r="I90" s="2">
        <f t="shared" si="21"/>
        <v>5.0363101079489692</v>
      </c>
      <c r="J90" s="4">
        <f t="shared" si="21"/>
        <v>5.0840108745558643</v>
      </c>
      <c r="K90" s="6">
        <f t="shared" si="21"/>
        <v>5.0840108745558643</v>
      </c>
      <c r="L90" s="71" t="str">
        <f>C90</f>
        <v>MS</v>
      </c>
      <c r="M90" s="71"/>
      <c r="O90" s="71"/>
    </row>
    <row r="91" spans="1:15" x14ac:dyDescent="0.25">
      <c r="A91" s="66"/>
      <c r="M91" s="71"/>
      <c r="O91" s="71"/>
    </row>
    <row r="92" spans="1:15" x14ac:dyDescent="0.25">
      <c r="A92" s="66"/>
      <c r="B92" s="71"/>
      <c r="C92" s="161" t="s">
        <v>8</v>
      </c>
      <c r="D92" s="161"/>
      <c r="E92" s="161"/>
      <c r="F92" s="161"/>
      <c r="G92" s="161"/>
      <c r="H92" s="161"/>
      <c r="I92" s="161"/>
      <c r="J92" s="161"/>
      <c r="K92" s="161"/>
      <c r="L92" s="161"/>
      <c r="M92" s="71"/>
      <c r="N92" s="71"/>
      <c r="O92" s="71"/>
    </row>
    <row r="93" spans="1:15" x14ac:dyDescent="0.25">
      <c r="A93" s="66"/>
      <c r="B93" s="7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71"/>
      <c r="N93" s="71"/>
      <c r="O93" s="71"/>
    </row>
    <row r="94" spans="1:15" x14ac:dyDescent="0.25">
      <c r="A94" s="66"/>
      <c r="B94" s="71"/>
      <c r="M94" s="71"/>
      <c r="N94" s="71"/>
      <c r="O94" s="71"/>
    </row>
    <row r="95" spans="1:15" x14ac:dyDescent="0.25">
      <c r="A95" s="66"/>
      <c r="C95" s="71" t="s">
        <v>6</v>
      </c>
      <c r="D95" s="2">
        <f t="shared" ref="D95:K95" si="22">(D73)/(2.8*D70+1.65*D71+0.35*D72)</f>
        <v>6.3317594778502988</v>
      </c>
      <c r="E95" s="2">
        <f t="shared" si="22"/>
        <v>1.8791631754762571E-2</v>
      </c>
      <c r="F95" s="2">
        <f t="shared" si="22"/>
        <v>6.1992921973180543E-2</v>
      </c>
      <c r="G95" s="2">
        <f t="shared" si="22"/>
        <v>6.3317594778502988</v>
      </c>
      <c r="H95" s="2">
        <f t="shared" si="22"/>
        <v>1.8791631754762571E-2</v>
      </c>
      <c r="I95" s="2">
        <f t="shared" si="22"/>
        <v>6.1992921973180536E-2</v>
      </c>
      <c r="J95" s="4">
        <f t="shared" si="22"/>
        <v>6.2051617638279849E-2</v>
      </c>
      <c r="K95" s="3">
        <f t="shared" si="22"/>
        <v>6.2051617638279849E-2</v>
      </c>
      <c r="L95" s="2" t="str">
        <f t="shared" ref="L95:L100" si="23">C95</f>
        <v>KSG</v>
      </c>
      <c r="O95" s="71"/>
    </row>
    <row r="96" spans="1:15" x14ac:dyDescent="0.25">
      <c r="A96" s="66"/>
      <c r="C96" s="71" t="s">
        <v>5</v>
      </c>
      <c r="D96" s="2">
        <f t="shared" ref="D96:K96" si="24">(D73)/(2.8*D70+1.1*D71+0.7*D72)</f>
        <v>6.6727645250987848</v>
      </c>
      <c r="E96" s="2">
        <f t="shared" si="24"/>
        <v>1.9453382828842271E-2</v>
      </c>
      <c r="F96" s="2">
        <f t="shared" si="24"/>
        <v>6.1980238533655883E-2</v>
      </c>
      <c r="G96" s="2">
        <f t="shared" si="24"/>
        <v>6.6727645250987857</v>
      </c>
      <c r="H96" s="2">
        <f t="shared" si="24"/>
        <v>1.9453382828842271E-2</v>
      </c>
      <c r="I96" s="2">
        <f t="shared" si="24"/>
        <v>6.1980238533655869E-2</v>
      </c>
      <c r="J96" s="4">
        <f t="shared" si="24"/>
        <v>6.1956633066032864E-2</v>
      </c>
      <c r="K96" s="3">
        <f t="shared" si="24"/>
        <v>6.1956633066032864E-2</v>
      </c>
      <c r="L96" s="2" t="str">
        <f t="shared" si="23"/>
        <v>KSt</v>
      </c>
      <c r="M96" s="71"/>
      <c r="O96" s="71"/>
    </row>
    <row r="97" spans="1:15" x14ac:dyDescent="0.25">
      <c r="A97" s="66"/>
      <c r="C97" s="71" t="s">
        <v>4</v>
      </c>
      <c r="D97" s="2">
        <f t="shared" ref="D97:K97" si="25">(D73)/(2.8*D70+1.18*D71+0.65*D72)</f>
        <v>6.620492380516775</v>
      </c>
      <c r="E97" s="2">
        <f t="shared" si="25"/>
        <v>1.9353845677443797E-2</v>
      </c>
      <c r="F97" s="2">
        <f t="shared" si="25"/>
        <v>6.1976620974453001E-2</v>
      </c>
      <c r="G97" s="2">
        <f t="shared" si="25"/>
        <v>6.620492380516775</v>
      </c>
      <c r="H97" s="2">
        <f t="shared" si="25"/>
        <v>1.9353845677443797E-2</v>
      </c>
      <c r="I97" s="2">
        <f t="shared" si="25"/>
        <v>6.1976620974453007E-2</v>
      </c>
      <c r="J97" s="4">
        <f t="shared" si="25"/>
        <v>6.196481373640695E-2</v>
      </c>
      <c r="K97" s="3">
        <f t="shared" si="25"/>
        <v>6.196481373640695E-2</v>
      </c>
      <c r="L97" s="2" t="str">
        <f t="shared" si="23"/>
        <v>KSt I</v>
      </c>
      <c r="M97" s="71"/>
      <c r="O97" s="71"/>
    </row>
    <row r="98" spans="1:15" x14ac:dyDescent="0.25">
      <c r="A98" s="66"/>
      <c r="C98" s="71" t="s">
        <v>7</v>
      </c>
      <c r="D98" s="2">
        <f t="shared" ref="D98:K98" si="26">(D73-(1.65*D71+0.35*D72))/(2.8*D70)</f>
        <v>8.0499449136981269</v>
      </c>
      <c r="E98" s="2">
        <f t="shared" si="26"/>
        <v>-0.1317318088166296</v>
      </c>
      <c r="F98" s="2">
        <f t="shared" si="26"/>
        <v>-8.4567420109119232E-2</v>
      </c>
      <c r="G98" s="2">
        <f t="shared" si="26"/>
        <v>8.0499449136981269</v>
      </c>
      <c r="H98" s="2">
        <f t="shared" si="26"/>
        <v>-0.1317318088166296</v>
      </c>
      <c r="I98" s="2">
        <f t="shared" si="26"/>
        <v>-8.4567420109119232E-2</v>
      </c>
      <c r="J98" s="4">
        <f t="shared" si="26"/>
        <v>-8.4567420109119343E-2</v>
      </c>
      <c r="K98" s="3">
        <f t="shared" si="26"/>
        <v>-8.4567420109119343E-2</v>
      </c>
      <c r="L98" s="71" t="str">
        <f t="shared" si="23"/>
        <v>KSK</v>
      </c>
      <c r="O98" s="71"/>
    </row>
    <row r="99" spans="1:15" x14ac:dyDescent="0.25">
      <c r="A99" s="66"/>
      <c r="C99" s="71" t="s">
        <v>3</v>
      </c>
      <c r="D99" s="2">
        <f t="shared" ref="D99:K99" si="27">((D73+0.75*D74))/(2.8*D70+1.18*D71+0.65*D72)</f>
        <v>6.6972680214027989</v>
      </c>
      <c r="E99" s="2">
        <f t="shared" si="27"/>
        <v>3.0180614641707942E-2</v>
      </c>
      <c r="F99" s="2">
        <f t="shared" si="27"/>
        <v>8.0704993089305913E-2</v>
      </c>
      <c r="G99" s="2">
        <f t="shared" si="27"/>
        <v>6.697268021402798</v>
      </c>
      <c r="H99" s="2">
        <f t="shared" si="27"/>
        <v>3.0180614641707942E-2</v>
      </c>
      <c r="I99" s="2">
        <f t="shared" si="27"/>
        <v>8.0704993089305913E-2</v>
      </c>
      <c r="J99" s="4">
        <f t="shared" si="27"/>
        <v>8.0973490160375361E-2</v>
      </c>
      <c r="K99" s="3">
        <f t="shared" si="27"/>
        <v>8.0973490160375361E-2</v>
      </c>
      <c r="L99" s="2" t="str">
        <f t="shared" si="23"/>
        <v>KSt II</v>
      </c>
      <c r="M99" s="71" t="s">
        <v>1</v>
      </c>
    </row>
    <row r="100" spans="1:15" x14ac:dyDescent="0.25">
      <c r="A100" s="66"/>
      <c r="B100" s="71"/>
      <c r="C100" s="71" t="s">
        <v>2</v>
      </c>
      <c r="D100" s="2">
        <f t="shared" ref="D100:K100" si="28">(D73-0.7*D75)/(2.8*D70+1.2*D71+0.65*D72)</f>
        <v>6.576651583710408</v>
      </c>
      <c r="E100" s="2">
        <f t="shared" si="28"/>
        <v>1.9323627567769099E-2</v>
      </c>
      <c r="F100" s="2">
        <f t="shared" si="28"/>
        <v>3.4219675411895162E-2</v>
      </c>
      <c r="G100" s="2">
        <f t="shared" si="28"/>
        <v>6.5766515837104071</v>
      </c>
      <c r="H100" s="2">
        <f t="shared" si="28"/>
        <v>1.9323627567769095E-2</v>
      </c>
      <c r="I100" s="2">
        <f t="shared" si="28"/>
        <v>3.4219675411895155E-2</v>
      </c>
      <c r="J100" s="4">
        <f t="shared" si="28"/>
        <v>3.3176167286728953E-2</v>
      </c>
      <c r="K100" s="3">
        <f t="shared" si="28"/>
        <v>3.3176167286728953E-2</v>
      </c>
      <c r="L100" s="2" t="str">
        <f t="shared" si="23"/>
        <v>LSF</v>
      </c>
      <c r="M100" s="71" t="s">
        <v>0</v>
      </c>
    </row>
    <row r="101" spans="1:15" x14ac:dyDescent="0.25">
      <c r="A101" s="66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</row>
    <row r="102" spans="1:15" x14ac:dyDescent="0.2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</row>
    <row r="103" spans="1:15" x14ac:dyDescent="0.2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</row>
    <row r="104" spans="1:15" x14ac:dyDescent="0.2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</row>
  </sheetData>
  <mergeCells count="26">
    <mergeCell ref="P12:S12"/>
    <mergeCell ref="U12:V12"/>
    <mergeCell ref="O6:AA6"/>
    <mergeCell ref="O8:AA8"/>
    <mergeCell ref="U10:V10"/>
    <mergeCell ref="P11:S11"/>
    <mergeCell ref="U11:V11"/>
    <mergeCell ref="O27:AA27"/>
    <mergeCell ref="P13:S13"/>
    <mergeCell ref="U13:V13"/>
    <mergeCell ref="C14:L14"/>
    <mergeCell ref="O15:AA15"/>
    <mergeCell ref="E17:F17"/>
    <mergeCell ref="E18:F18"/>
    <mergeCell ref="E19:F19"/>
    <mergeCell ref="O21:AA21"/>
    <mergeCell ref="S23:T23"/>
    <mergeCell ref="S24:T24"/>
    <mergeCell ref="S25:T25"/>
    <mergeCell ref="C92:L93"/>
    <mergeCell ref="R29:U29"/>
    <mergeCell ref="R30:U30"/>
    <mergeCell ref="X30:AA32"/>
    <mergeCell ref="R31:U31"/>
    <mergeCell ref="O33:AA33"/>
    <mergeCell ref="C85:L86"/>
  </mergeCells>
  <pageMargins left="0.7" right="0.7" top="0.75" bottom="0.75" header="0.3" footer="0.3"/>
  <pageSetup orientation="portrait" horizontalDpi="300" verticalDpi="0" copies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90"/>
  <sheetViews>
    <sheetView tabSelected="1" workbookViewId="0">
      <selection activeCell="S8" sqref="S8"/>
    </sheetView>
  </sheetViews>
  <sheetFormatPr baseColWidth="10" defaultRowHeight="15" x14ac:dyDescent="0.25"/>
  <cols>
    <col min="2" max="2" width="5.140625" customWidth="1"/>
    <col min="3" max="3" width="10.5703125" customWidth="1"/>
    <col min="4" max="4" width="14.5703125" bestFit="1" customWidth="1"/>
    <col min="5" max="5" width="18.42578125" bestFit="1" customWidth="1"/>
    <col min="6" max="6" width="12.7109375" bestFit="1" customWidth="1"/>
    <col min="7" max="8" width="6.5703125" bestFit="1" customWidth="1"/>
    <col min="9" max="9" width="9.42578125" bestFit="1" customWidth="1"/>
    <col min="10" max="10" width="10.28515625" customWidth="1"/>
    <col min="11" max="11" width="7.85546875" customWidth="1"/>
    <col min="12" max="12" width="7.42578125" customWidth="1"/>
    <col min="13" max="13" width="8.5703125" customWidth="1"/>
    <col min="15" max="15" width="5.85546875" bestFit="1" customWidth="1"/>
    <col min="16" max="16" width="3" bestFit="1" customWidth="1"/>
    <col min="17" max="17" width="5.85546875" bestFit="1" customWidth="1"/>
    <col min="18" max="18" width="4" bestFit="1" customWidth="1"/>
    <col min="19" max="19" width="5.85546875" bestFit="1" customWidth="1"/>
    <col min="20" max="20" width="4" bestFit="1" customWidth="1"/>
    <col min="21" max="21" width="5.85546875" bestFit="1" customWidth="1"/>
    <col min="22" max="22" width="4" bestFit="1" customWidth="1"/>
    <col min="23" max="23" width="5.85546875" bestFit="1" customWidth="1"/>
    <col min="24" max="24" width="4" bestFit="1" customWidth="1"/>
  </cols>
  <sheetData>
    <row r="1" spans="3:17" ht="15.75" thickBot="1" x14ac:dyDescent="0.3">
      <c r="C1" s="161" t="s">
        <v>99</v>
      </c>
      <c r="D1" s="161"/>
      <c r="F1" s="161" t="s">
        <v>134</v>
      </c>
      <c r="G1" s="161"/>
      <c r="H1" s="161"/>
      <c r="I1" s="78"/>
      <c r="N1" s="78"/>
      <c r="O1" s="78"/>
      <c r="P1" s="78"/>
      <c r="Q1" s="78"/>
    </row>
    <row r="2" spans="3:17" x14ac:dyDescent="0.25">
      <c r="C2" s="161"/>
      <c r="D2" s="161"/>
      <c r="F2" s="161"/>
      <c r="G2" s="161"/>
      <c r="H2" s="161"/>
      <c r="I2" s="78"/>
      <c r="J2" s="26"/>
      <c r="K2" s="27"/>
      <c r="L2" s="27"/>
      <c r="M2" s="27"/>
      <c r="N2" s="28"/>
      <c r="Q2" s="78"/>
    </row>
    <row r="3" spans="3:17" x14ac:dyDescent="0.25">
      <c r="D3" s="78" t="s">
        <v>14</v>
      </c>
      <c r="H3" s="78" t="s">
        <v>14</v>
      </c>
      <c r="I3" s="78"/>
      <c r="J3" s="220" t="s">
        <v>71</v>
      </c>
      <c r="K3" s="221"/>
      <c r="L3" s="221"/>
      <c r="M3" s="221"/>
      <c r="N3" s="222"/>
      <c r="Q3" s="78"/>
    </row>
    <row r="4" spans="3:17" x14ac:dyDescent="0.25">
      <c r="C4" s="142" t="s">
        <v>29</v>
      </c>
      <c r="D4" s="140">
        <v>1</v>
      </c>
      <c r="F4" s="219" t="s">
        <v>108</v>
      </c>
      <c r="G4" s="219"/>
      <c r="H4" s="139">
        <f>I40</f>
        <v>2.1</v>
      </c>
      <c r="I4" s="78"/>
      <c r="J4" s="63"/>
      <c r="K4" s="77"/>
      <c r="L4" s="77"/>
      <c r="M4" s="77"/>
      <c r="N4" s="79"/>
      <c r="Q4" s="78"/>
    </row>
    <row r="5" spans="3:17" x14ac:dyDescent="0.25">
      <c r="C5" s="142" t="s">
        <v>97</v>
      </c>
      <c r="D5" s="140">
        <v>3.4</v>
      </c>
      <c r="F5" s="219" t="s">
        <v>109</v>
      </c>
      <c r="G5" s="219"/>
      <c r="H5" s="139">
        <f>I46</f>
        <v>5.2272727272727266</v>
      </c>
      <c r="I5" s="78"/>
      <c r="J5" s="214" t="s">
        <v>131</v>
      </c>
      <c r="K5" s="215"/>
      <c r="L5" s="215"/>
      <c r="M5" s="215"/>
      <c r="N5" s="216"/>
      <c r="Q5" s="78"/>
    </row>
    <row r="6" spans="3:17" ht="15.75" thickBot="1" x14ac:dyDescent="0.3">
      <c r="C6" s="142" t="s">
        <v>30</v>
      </c>
      <c r="D6" s="140">
        <v>33.5</v>
      </c>
      <c r="F6" s="219" t="s">
        <v>110</v>
      </c>
      <c r="G6" s="219"/>
      <c r="H6" s="139">
        <f>IF(D82="NO PROCEDE",(IF(E76="SO4Ca",E78,0)),G93)</f>
        <v>3.4000000000000057</v>
      </c>
      <c r="I6" s="78"/>
      <c r="J6" s="63"/>
      <c r="K6" s="77"/>
      <c r="L6" s="77"/>
      <c r="M6" s="77"/>
      <c r="N6" s="79"/>
      <c r="Q6" s="78"/>
    </row>
    <row r="7" spans="3:17" ht="15.75" thickBot="1" x14ac:dyDescent="0.3">
      <c r="C7" s="142" t="s">
        <v>28</v>
      </c>
      <c r="D7" s="140">
        <v>42</v>
      </c>
      <c r="F7" s="219" t="s">
        <v>111</v>
      </c>
      <c r="G7" s="219"/>
      <c r="H7" s="139">
        <f>IF(D82="NO PROCEDE",E72,0)</f>
        <v>0</v>
      </c>
      <c r="I7" s="78"/>
      <c r="J7" s="63"/>
      <c r="K7" s="201" t="str">
        <f>IF(D82="NO PROCEDE",(IF(K19="H2O EN DEFECTO","HEMIHIDRATO + ANHIDRITA","HEMIHIDRATO + BIHIDRATO")),"ANHIDRITA + BIHIDRATO")</f>
        <v>ANHIDRITA + BIHIDRATO</v>
      </c>
      <c r="L7" s="202"/>
      <c r="M7" s="203"/>
      <c r="N7" s="79"/>
      <c r="Q7" s="78"/>
    </row>
    <row r="8" spans="3:17" ht="15.75" thickBot="1" x14ac:dyDescent="0.3">
      <c r="C8" s="142" t="s">
        <v>98</v>
      </c>
      <c r="D8" s="140">
        <v>18</v>
      </c>
      <c r="F8" s="219" t="s">
        <v>112</v>
      </c>
      <c r="G8" s="219"/>
      <c r="H8" s="139">
        <f>IF(D82="NO PROCEDE",(IF(E76="SO4Ca(2H2O)",E78,0)),G92)</f>
        <v>86</v>
      </c>
      <c r="I8" s="78"/>
      <c r="J8" s="63"/>
      <c r="K8" s="77"/>
      <c r="L8" s="77"/>
      <c r="M8" s="77"/>
      <c r="N8" s="79"/>
      <c r="O8" s="78"/>
      <c r="P8" s="78"/>
      <c r="Q8" s="78"/>
    </row>
    <row r="9" spans="3:17" x14ac:dyDescent="0.25">
      <c r="C9" s="142" t="s">
        <v>100</v>
      </c>
      <c r="D9" s="140">
        <f>0.53+0.55+1.02</f>
        <v>2.1</v>
      </c>
      <c r="F9" s="219" t="str">
        <f>F50</f>
        <v>CaO EN EXCESO</v>
      </c>
      <c r="G9" s="219"/>
      <c r="H9" s="139">
        <f>H50</f>
        <v>1.1727272727272755</v>
      </c>
      <c r="I9" s="78"/>
      <c r="J9" s="63"/>
      <c r="K9" s="204" t="str">
        <f>IF(K7="ANHIDRITA + BIHIDRATO","SO4Ca",IF(K7="HEMIHIDRATO + ANHIDRITA","SO4Ca","SO4Ca(1/2H20)"))</f>
        <v>SO4Ca</v>
      </c>
      <c r="L9" s="205"/>
      <c r="M9" s="144">
        <f>VLOOKUP(K9,F4:H10,3,FALSE)</f>
        <v>3.4000000000000057</v>
      </c>
      <c r="N9" s="79"/>
      <c r="O9" s="78"/>
      <c r="P9" s="78"/>
      <c r="Q9" s="78"/>
    </row>
    <row r="10" spans="3:17" ht="15.75" thickBot="1" x14ac:dyDescent="0.3">
      <c r="C10" s="78"/>
      <c r="D10" s="78"/>
      <c r="F10" s="219" t="s">
        <v>113</v>
      </c>
      <c r="G10" s="219"/>
      <c r="H10" s="139">
        <f>D9</f>
        <v>2.1</v>
      </c>
      <c r="I10" s="78"/>
      <c r="J10" s="63"/>
      <c r="K10" s="206" t="str">
        <f>IF(K7="ANHIDRITA + BIHIDRATO","SO4Ca(2H2O)",IF(K7="HEMIHIDRATO + ANHIDRITA","SO4Ca(1/2H2O)","SO4Ca(2H20)"))</f>
        <v>SO4Ca(2H2O)</v>
      </c>
      <c r="L10" s="207"/>
      <c r="M10" s="145">
        <f>VLOOKUP(K10,F4:H10,3,FALSE)</f>
        <v>86</v>
      </c>
      <c r="N10" s="79"/>
      <c r="O10" s="78"/>
      <c r="P10" s="78"/>
      <c r="Q10" s="78"/>
    </row>
    <row r="11" spans="3:17" x14ac:dyDescent="0.25">
      <c r="G11" s="78"/>
      <c r="H11" s="78"/>
      <c r="I11" s="78"/>
      <c r="J11" s="63"/>
      <c r="K11" s="77"/>
      <c r="L11" s="77"/>
      <c r="M11" s="77"/>
      <c r="N11" s="79"/>
      <c r="O11" s="78"/>
      <c r="P11" s="78"/>
      <c r="Q11" s="78"/>
    </row>
    <row r="12" spans="3:17" x14ac:dyDescent="0.25">
      <c r="C12" s="78" t="s">
        <v>66</v>
      </c>
      <c r="D12" s="141">
        <f>SUM(D4:D9)</f>
        <v>100</v>
      </c>
      <c r="G12" s="78" t="s">
        <v>66</v>
      </c>
      <c r="H12" s="141">
        <f>SUM(H4:H10)</f>
        <v>100</v>
      </c>
      <c r="J12" s="214" t="s">
        <v>132</v>
      </c>
      <c r="K12" s="215"/>
      <c r="L12" s="215"/>
      <c r="M12" s="215"/>
      <c r="N12" s="216"/>
      <c r="O12" s="78"/>
      <c r="P12" s="78"/>
      <c r="Q12" s="78"/>
    </row>
    <row r="13" spans="3:17" ht="15.75" thickBot="1" x14ac:dyDescent="0.3">
      <c r="J13" s="63"/>
      <c r="K13" s="77"/>
      <c r="L13" s="77"/>
      <c r="M13" s="77"/>
      <c r="N13" s="79"/>
      <c r="O13" s="78"/>
      <c r="P13" s="78"/>
      <c r="Q13" s="78"/>
    </row>
    <row r="14" spans="3:17" ht="15.75" thickBot="1" x14ac:dyDescent="0.3">
      <c r="G14" s="78"/>
      <c r="J14" s="63"/>
      <c r="K14" s="211" t="str">
        <f>IF(H7&gt;=80,"ESCAYOLA",IF(H7&gt;=66,"YESO BLANCO",IF(H7&gt;=50,"YESO NEGRO","ALGEZ")))</f>
        <v>ALGEZ</v>
      </c>
      <c r="L14" s="212"/>
      <c r="M14" s="213"/>
      <c r="N14" s="79"/>
      <c r="O14" s="78"/>
      <c r="P14" s="78"/>
      <c r="Q14" s="78"/>
    </row>
    <row r="15" spans="3:17" x14ac:dyDescent="0.25">
      <c r="F15" s="78"/>
      <c r="G15" s="78"/>
      <c r="H15" s="78"/>
      <c r="I15" s="78"/>
      <c r="J15" s="63"/>
      <c r="K15" s="77"/>
      <c r="L15" s="77"/>
      <c r="M15" s="77"/>
      <c r="N15" s="79"/>
      <c r="O15" s="78"/>
      <c r="P15" s="78"/>
      <c r="Q15" s="78"/>
    </row>
    <row r="16" spans="3:17" x14ac:dyDescent="0.25">
      <c r="F16" s="78"/>
      <c r="J16" s="214" t="s">
        <v>133</v>
      </c>
      <c r="K16" s="215"/>
      <c r="L16" s="215"/>
      <c r="M16" s="215"/>
      <c r="N16" s="216"/>
      <c r="O16" s="78"/>
      <c r="P16" s="78"/>
      <c r="Q16" s="78"/>
    </row>
    <row r="17" spans="1:17" ht="15.75" thickBot="1" x14ac:dyDescent="0.3">
      <c r="F17" s="78"/>
      <c r="J17" s="63"/>
      <c r="K17" s="77"/>
      <c r="L17" s="77"/>
      <c r="M17" s="77"/>
      <c r="N17" s="79"/>
      <c r="O17" s="78"/>
      <c r="P17" s="78"/>
      <c r="Q17" s="78"/>
    </row>
    <row r="18" spans="1:17" x14ac:dyDescent="0.25">
      <c r="F18" s="78"/>
      <c r="J18" s="63"/>
      <c r="K18" s="204" t="str">
        <f>F50</f>
        <v>CaO EN EXCESO</v>
      </c>
      <c r="L18" s="205"/>
      <c r="M18" s="144">
        <f>H50</f>
        <v>1.1727272727272755</v>
      </c>
      <c r="N18" s="79"/>
      <c r="O18" s="78"/>
      <c r="P18" s="78"/>
      <c r="Q18" s="78"/>
    </row>
    <row r="19" spans="1:17" ht="15.75" thickBot="1" x14ac:dyDescent="0.3">
      <c r="D19" s="78"/>
      <c r="E19" s="78"/>
      <c r="F19" s="78"/>
      <c r="J19" s="63"/>
      <c r="K19" s="206" t="str">
        <f>F62</f>
        <v>H2O EN EXCESO</v>
      </c>
      <c r="L19" s="207"/>
      <c r="M19" s="56"/>
      <c r="N19" s="79"/>
      <c r="O19" s="78"/>
      <c r="P19" s="78"/>
      <c r="Q19" s="78"/>
    </row>
    <row r="20" spans="1:17" x14ac:dyDescent="0.25">
      <c r="D20" s="78"/>
      <c r="E20" s="78"/>
      <c r="F20" s="78"/>
      <c r="J20" s="63"/>
      <c r="K20" s="77"/>
      <c r="L20" s="77"/>
      <c r="M20" s="77"/>
      <c r="N20" s="79"/>
      <c r="O20" s="78"/>
      <c r="P20" s="78"/>
      <c r="Q20" s="78"/>
    </row>
    <row r="21" spans="1:17" x14ac:dyDescent="0.25">
      <c r="D21" s="78"/>
      <c r="E21" s="78"/>
      <c r="F21" s="78"/>
      <c r="J21" s="214" t="s">
        <v>121</v>
      </c>
      <c r="K21" s="215"/>
      <c r="L21" s="215"/>
      <c r="M21" s="215"/>
      <c r="N21" s="216"/>
      <c r="O21" s="78"/>
      <c r="P21" s="78"/>
      <c r="Q21" s="78"/>
    </row>
    <row r="22" spans="1:17" ht="15.75" thickBot="1" x14ac:dyDescent="0.3">
      <c r="J22" s="63"/>
      <c r="K22" s="77"/>
      <c r="L22" s="77"/>
      <c r="M22" s="77"/>
      <c r="N22" s="79"/>
      <c r="P22" s="78"/>
      <c r="Q22" s="78"/>
    </row>
    <row r="23" spans="1:17" ht="15.75" thickBot="1" x14ac:dyDescent="0.3">
      <c r="J23" s="63"/>
      <c r="K23" s="208">
        <f>D9+I40+I46+H50</f>
        <v>10.600000000000001</v>
      </c>
      <c r="L23" s="209"/>
      <c r="M23" s="210"/>
      <c r="N23" s="79"/>
      <c r="P23" s="78"/>
      <c r="Q23" s="78"/>
    </row>
    <row r="24" spans="1:17" ht="15.75" thickBot="1" x14ac:dyDescent="0.3">
      <c r="J24" s="67"/>
      <c r="K24" s="143"/>
      <c r="L24" s="143"/>
      <c r="M24" s="143"/>
      <c r="N24" s="53"/>
      <c r="P24" s="78"/>
      <c r="Q24" s="78"/>
    </row>
    <row r="25" spans="1:17" x14ac:dyDescent="0.25">
      <c r="P25" s="78"/>
      <c r="Q25" s="78"/>
    </row>
    <row r="26" spans="1:17" x14ac:dyDescent="0.25">
      <c r="A26" s="17"/>
      <c r="P26" s="78"/>
      <c r="Q26" s="78"/>
    </row>
    <row r="27" spans="1:17" hidden="1" x14ac:dyDescent="0.25">
      <c r="A27" s="17"/>
      <c r="P27" s="78"/>
      <c r="Q27" s="78"/>
    </row>
    <row r="28" spans="1:17" hidden="1" x14ac:dyDescent="0.25">
      <c r="A28" s="17"/>
      <c r="B28" s="130"/>
      <c r="C28" s="130"/>
      <c r="D28" s="200" t="s">
        <v>108</v>
      </c>
      <c r="E28" s="200"/>
      <c r="F28" s="200" t="s">
        <v>109</v>
      </c>
      <c r="G28" s="200"/>
      <c r="H28" s="200" t="s">
        <v>110</v>
      </c>
      <c r="I28" s="200"/>
      <c r="J28" s="200" t="s">
        <v>111</v>
      </c>
      <c r="K28" s="200"/>
      <c r="L28" s="200" t="s">
        <v>112</v>
      </c>
      <c r="M28" s="200"/>
      <c r="P28" s="78"/>
      <c r="Q28" s="78"/>
    </row>
    <row r="29" spans="1:17" hidden="1" x14ac:dyDescent="0.25">
      <c r="A29" s="17"/>
      <c r="B29" s="130"/>
      <c r="C29" s="78" t="s">
        <v>65</v>
      </c>
      <c r="D29" s="130" t="s">
        <v>130</v>
      </c>
      <c r="E29" s="78">
        <f>SUM(E30:E34)</f>
        <v>84</v>
      </c>
      <c r="F29" s="130" t="s">
        <v>130</v>
      </c>
      <c r="G29" s="78">
        <f>SUM(G30:G34)</f>
        <v>100</v>
      </c>
      <c r="H29" s="130" t="s">
        <v>130</v>
      </c>
      <c r="I29" s="78">
        <f>SUM(I30:I34)</f>
        <v>136</v>
      </c>
      <c r="J29" s="130" t="s">
        <v>130</v>
      </c>
      <c r="K29" s="78">
        <f>SUM(K30:K34)</f>
        <v>145</v>
      </c>
      <c r="L29" s="130" t="s">
        <v>130</v>
      </c>
      <c r="M29" s="78">
        <f>SUM(M30:M34)</f>
        <v>172</v>
      </c>
      <c r="O29" s="78"/>
      <c r="P29" s="78"/>
      <c r="Q29" s="78"/>
    </row>
    <row r="30" spans="1:17" hidden="1" x14ac:dyDescent="0.25">
      <c r="A30" s="17"/>
      <c r="B30" s="130" t="s">
        <v>29</v>
      </c>
      <c r="C30" s="78">
        <v>40</v>
      </c>
      <c r="D30" s="130">
        <v>1</v>
      </c>
      <c r="E30" s="130">
        <f>D30*$C$30</f>
        <v>40</v>
      </c>
      <c r="F30" s="130">
        <v>0</v>
      </c>
      <c r="G30" s="130">
        <f>F30*$C$31</f>
        <v>0</v>
      </c>
      <c r="H30" s="130">
        <f>0</f>
        <v>0</v>
      </c>
      <c r="I30" s="130">
        <f>H30*$C$31</f>
        <v>0</v>
      </c>
      <c r="J30" s="130">
        <v>0</v>
      </c>
      <c r="K30" s="130">
        <f>J30*$C$31</f>
        <v>0</v>
      </c>
      <c r="L30" s="130">
        <v>0</v>
      </c>
      <c r="M30" s="130">
        <f>L30*$C$31</f>
        <v>0</v>
      </c>
      <c r="O30" s="78"/>
      <c r="P30" s="78"/>
      <c r="Q30" s="78"/>
    </row>
    <row r="31" spans="1:17" hidden="1" x14ac:dyDescent="0.25">
      <c r="A31" s="17"/>
      <c r="B31" s="130" t="s">
        <v>97</v>
      </c>
      <c r="C31" s="78">
        <v>44</v>
      </c>
      <c r="D31" s="130">
        <v>1</v>
      </c>
      <c r="E31" s="130">
        <f>D31*$C$31</f>
        <v>44</v>
      </c>
      <c r="F31" s="130">
        <v>1</v>
      </c>
      <c r="G31" s="130">
        <f>F31*$C$31</f>
        <v>44</v>
      </c>
      <c r="H31" s="130">
        <v>0</v>
      </c>
      <c r="I31" s="130">
        <f>H31*$C$31</f>
        <v>0</v>
      </c>
      <c r="J31" s="130">
        <v>0</v>
      </c>
      <c r="K31" s="130">
        <f>J31*$C$31</f>
        <v>0</v>
      </c>
      <c r="L31" s="130">
        <v>0</v>
      </c>
      <c r="M31" s="130">
        <f>L31*$C$31</f>
        <v>0</v>
      </c>
      <c r="O31" s="78"/>
      <c r="P31" s="78"/>
      <c r="Q31" s="78"/>
    </row>
    <row r="32" spans="1:17" hidden="1" x14ac:dyDescent="0.25">
      <c r="A32" s="17"/>
      <c r="B32" s="130" t="s">
        <v>30</v>
      </c>
      <c r="C32" s="78">
        <v>56</v>
      </c>
      <c r="D32" s="130">
        <v>0</v>
      </c>
      <c r="E32" s="130">
        <f>D32*$C$32</f>
        <v>0</v>
      </c>
      <c r="F32" s="130">
        <v>1</v>
      </c>
      <c r="G32" s="130">
        <f>F32*$C$32</f>
        <v>56</v>
      </c>
      <c r="H32" s="130">
        <v>1</v>
      </c>
      <c r="I32" s="130">
        <f>H32*$C$32</f>
        <v>56</v>
      </c>
      <c r="J32" s="130">
        <v>1</v>
      </c>
      <c r="K32" s="130">
        <f>J32*$C$32</f>
        <v>56</v>
      </c>
      <c r="L32" s="130">
        <v>1</v>
      </c>
      <c r="M32" s="130">
        <f>L32*$C$32</f>
        <v>56</v>
      </c>
      <c r="O32" s="78"/>
      <c r="P32" s="78"/>
      <c r="Q32" s="78"/>
    </row>
    <row r="33" spans="1:17" hidden="1" x14ac:dyDescent="0.25">
      <c r="A33" s="17"/>
      <c r="B33" s="130" t="s">
        <v>28</v>
      </c>
      <c r="C33" s="78">
        <v>80</v>
      </c>
      <c r="D33" s="130">
        <v>0</v>
      </c>
      <c r="E33" s="130">
        <f>D33*$C$33</f>
        <v>0</v>
      </c>
      <c r="F33" s="130">
        <v>0</v>
      </c>
      <c r="G33" s="130">
        <f>F33*$C$33</f>
        <v>0</v>
      </c>
      <c r="H33" s="130">
        <v>1</v>
      </c>
      <c r="I33" s="130">
        <f>H33*$C$33</f>
        <v>80</v>
      </c>
      <c r="J33" s="130">
        <v>1</v>
      </c>
      <c r="K33" s="130">
        <f>J33*$C$33</f>
        <v>80</v>
      </c>
      <c r="L33" s="130">
        <v>1</v>
      </c>
      <c r="M33" s="130">
        <f>L33*$C$33</f>
        <v>80</v>
      </c>
    </row>
    <row r="34" spans="1:17" hidden="1" x14ac:dyDescent="0.25">
      <c r="A34" s="17"/>
      <c r="B34" s="130" t="s">
        <v>98</v>
      </c>
      <c r="C34" s="78">
        <v>18</v>
      </c>
      <c r="D34" s="130">
        <v>0</v>
      </c>
      <c r="E34" s="130">
        <f>D34*$C$34</f>
        <v>0</v>
      </c>
      <c r="F34" s="130">
        <v>0</v>
      </c>
      <c r="G34" s="130">
        <f>F34*$C$34</f>
        <v>0</v>
      </c>
      <c r="H34" s="130">
        <v>0</v>
      </c>
      <c r="I34" s="130">
        <f>H34*$C$34</f>
        <v>0</v>
      </c>
      <c r="J34" s="131">
        <v>0.5</v>
      </c>
      <c r="K34" s="130">
        <f>J34*$C$34</f>
        <v>9</v>
      </c>
      <c r="L34" s="130">
        <v>2</v>
      </c>
      <c r="M34" s="130">
        <f>L34*$C$34</f>
        <v>36</v>
      </c>
    </row>
    <row r="35" spans="1:17" hidden="1" x14ac:dyDescent="0.25">
      <c r="A35" s="17"/>
      <c r="C35" s="132"/>
      <c r="D35" s="133"/>
      <c r="E35" s="133"/>
      <c r="F35" s="133"/>
      <c r="G35" s="132"/>
      <c r="H35" s="132"/>
      <c r="I35" s="132"/>
      <c r="J35" s="132"/>
      <c r="K35" s="132"/>
    </row>
    <row r="36" spans="1:17" hidden="1" x14ac:dyDescent="0.25">
      <c r="A36" s="17"/>
      <c r="C36" s="132"/>
      <c r="D36" s="218" t="s">
        <v>101</v>
      </c>
      <c r="E36" s="218"/>
      <c r="F36" s="218"/>
      <c r="G36" s="218"/>
      <c r="H36" s="218"/>
      <c r="I36" s="218"/>
      <c r="J36" s="218"/>
      <c r="K36" s="132"/>
    </row>
    <row r="37" spans="1:17" hidden="1" x14ac:dyDescent="0.25">
      <c r="A37" s="17"/>
      <c r="C37" s="132"/>
      <c r="D37" s="132"/>
      <c r="E37" s="133"/>
      <c r="F37" s="133"/>
      <c r="G37" s="133"/>
      <c r="H37" s="133"/>
      <c r="I37" s="133"/>
      <c r="J37" s="133"/>
      <c r="K37" s="133"/>
    </row>
    <row r="38" spans="1:17" hidden="1" x14ac:dyDescent="0.25">
      <c r="A38" s="17"/>
      <c r="C38" s="132"/>
      <c r="E38" s="134" t="str">
        <f>C4</f>
        <v>MgO</v>
      </c>
      <c r="F38" s="134" t="s">
        <v>114</v>
      </c>
      <c r="G38" s="134" t="str">
        <f>C5</f>
        <v>CO2</v>
      </c>
      <c r="H38" s="134" t="s">
        <v>104</v>
      </c>
      <c r="I38" s="134" t="str">
        <f>F4</f>
        <v>CO3Mg</v>
      </c>
      <c r="J38" s="133"/>
      <c r="K38" s="133"/>
    </row>
    <row r="39" spans="1:17" hidden="1" x14ac:dyDescent="0.25">
      <c r="A39" s="17"/>
      <c r="C39" s="132"/>
      <c r="E39" s="135">
        <f>C30</f>
        <v>40</v>
      </c>
      <c r="F39" s="135"/>
      <c r="G39" s="135">
        <f>C31</f>
        <v>44</v>
      </c>
      <c r="H39" s="135"/>
      <c r="I39" s="135">
        <f>E29</f>
        <v>84</v>
      </c>
      <c r="J39" s="133"/>
      <c r="K39" s="133"/>
    </row>
    <row r="40" spans="1:17" hidden="1" x14ac:dyDescent="0.25">
      <c r="A40" s="17"/>
      <c r="C40" s="132"/>
      <c r="E40" s="139">
        <f>D4</f>
        <v>1</v>
      </c>
      <c r="F40" s="135"/>
      <c r="G40" s="135">
        <f>E40*G39/E39</f>
        <v>1.1000000000000001</v>
      </c>
      <c r="H40" s="135"/>
      <c r="I40" s="135">
        <f>E40*I39/E39</f>
        <v>2.1</v>
      </c>
      <c r="J40" s="133"/>
      <c r="K40" s="133"/>
      <c r="O40" s="78"/>
      <c r="P40" s="78"/>
      <c r="Q40" s="78"/>
    </row>
    <row r="41" spans="1:17" hidden="1" x14ac:dyDescent="0.25">
      <c r="A41" s="17"/>
      <c r="C41" s="132"/>
      <c r="D41" s="133"/>
      <c r="E41" s="133"/>
      <c r="F41" s="133"/>
      <c r="G41" s="133"/>
      <c r="H41" s="133"/>
      <c r="I41" s="133"/>
      <c r="J41" s="133"/>
      <c r="K41" s="133"/>
      <c r="O41" s="78"/>
      <c r="P41" s="78"/>
      <c r="Q41" s="78"/>
    </row>
    <row r="42" spans="1:17" hidden="1" x14ac:dyDescent="0.25">
      <c r="A42" s="17"/>
      <c r="C42" s="132"/>
      <c r="D42" s="217" t="s">
        <v>102</v>
      </c>
      <c r="E42" s="217"/>
      <c r="F42" s="217"/>
      <c r="G42" s="217"/>
      <c r="H42" s="217"/>
      <c r="I42" s="217"/>
      <c r="J42" s="217"/>
      <c r="K42" s="133"/>
      <c r="O42" s="78"/>
      <c r="P42" s="78"/>
      <c r="Q42" s="78"/>
    </row>
    <row r="43" spans="1:17" hidden="1" x14ac:dyDescent="0.25">
      <c r="A43" s="17"/>
      <c r="C43" s="132"/>
      <c r="D43" s="132"/>
      <c r="E43" s="133"/>
      <c r="F43" s="133"/>
      <c r="G43" s="133"/>
      <c r="H43" s="133"/>
      <c r="I43" s="133"/>
      <c r="J43" s="133"/>
      <c r="K43" s="133"/>
      <c r="O43" s="78"/>
      <c r="P43" s="78"/>
      <c r="Q43" s="78"/>
    </row>
    <row r="44" spans="1:17" hidden="1" x14ac:dyDescent="0.25">
      <c r="A44" s="17"/>
      <c r="C44" s="132"/>
      <c r="E44" s="134" t="str">
        <f>C5</f>
        <v>CO2</v>
      </c>
      <c r="F44" s="134" t="s">
        <v>114</v>
      </c>
      <c r="G44" s="134" t="str">
        <f>C6</f>
        <v>CaO</v>
      </c>
      <c r="H44" s="134" t="s">
        <v>104</v>
      </c>
      <c r="I44" s="134" t="str">
        <f>F5</f>
        <v>CO3Ca</v>
      </c>
      <c r="J44" s="133"/>
      <c r="K44" s="133"/>
      <c r="O44" s="78"/>
      <c r="P44" s="78"/>
      <c r="Q44" s="78"/>
    </row>
    <row r="45" spans="1:17" hidden="1" x14ac:dyDescent="0.25">
      <c r="A45" s="17"/>
      <c r="C45" s="132"/>
      <c r="E45" s="135">
        <f>C31</f>
        <v>44</v>
      </c>
      <c r="F45" s="135"/>
      <c r="G45" s="135">
        <f>C32</f>
        <v>56</v>
      </c>
      <c r="H45" s="135"/>
      <c r="I45" s="135">
        <f>G29</f>
        <v>100</v>
      </c>
      <c r="J45" s="133"/>
      <c r="K45" s="133"/>
      <c r="O45" s="78"/>
      <c r="P45" s="78"/>
      <c r="Q45" s="78"/>
    </row>
    <row r="46" spans="1:17" hidden="1" x14ac:dyDescent="0.25">
      <c r="A46" s="17"/>
      <c r="C46" s="132"/>
      <c r="E46" s="139">
        <f>D5-G40</f>
        <v>2.2999999999999998</v>
      </c>
      <c r="F46" s="135"/>
      <c r="G46" s="135">
        <f>E46*G45/E45</f>
        <v>2.9272727272727268</v>
      </c>
      <c r="H46" s="135"/>
      <c r="I46" s="135">
        <f>E46*I45/E45</f>
        <v>5.2272727272727266</v>
      </c>
      <c r="J46" s="133"/>
      <c r="K46" s="133"/>
      <c r="O46" s="78"/>
      <c r="P46" s="78"/>
      <c r="Q46" s="78"/>
    </row>
    <row r="47" spans="1:17" hidden="1" x14ac:dyDescent="0.25">
      <c r="A47" s="17"/>
      <c r="C47" s="132"/>
      <c r="D47" s="133"/>
      <c r="E47" s="133"/>
      <c r="F47" s="133"/>
      <c r="G47" s="133"/>
      <c r="H47" s="133"/>
      <c r="I47" s="133"/>
      <c r="J47" s="133"/>
      <c r="K47" s="133"/>
      <c r="O47" s="78"/>
      <c r="P47" s="78"/>
      <c r="Q47" s="78"/>
    </row>
    <row r="48" spans="1:17" hidden="1" x14ac:dyDescent="0.25">
      <c r="A48" s="17"/>
      <c r="C48" s="132"/>
      <c r="E48" s="134" t="s">
        <v>103</v>
      </c>
      <c r="F48" s="192" t="s">
        <v>115</v>
      </c>
      <c r="G48" s="192"/>
      <c r="H48" s="135">
        <f>D6-G46</f>
        <v>30.572727272727274</v>
      </c>
      <c r="I48" s="133"/>
      <c r="J48" s="133"/>
      <c r="K48" s="133"/>
      <c r="O48" s="78"/>
      <c r="P48" s="78"/>
      <c r="Q48" s="78"/>
    </row>
    <row r="49" spans="1:17" hidden="1" x14ac:dyDescent="0.25">
      <c r="A49" s="17"/>
      <c r="C49" s="132"/>
      <c r="E49" s="134" t="s">
        <v>104</v>
      </c>
      <c r="F49" s="192" t="s">
        <v>116</v>
      </c>
      <c r="G49" s="192"/>
      <c r="H49" s="135">
        <f>H48/D7</f>
        <v>0.72792207792207797</v>
      </c>
      <c r="I49" s="133"/>
      <c r="J49" s="133"/>
      <c r="K49" s="133"/>
      <c r="O49" s="78"/>
      <c r="P49" s="78"/>
      <c r="Q49" s="78"/>
    </row>
    <row r="50" spans="1:17" hidden="1" x14ac:dyDescent="0.25">
      <c r="A50" s="17"/>
      <c r="C50" s="132"/>
      <c r="E50" s="134" t="s">
        <v>105</v>
      </c>
      <c r="F50" s="192" t="str">
        <f>IF(H49&lt;0.7,"SO3 EN EXCESO",IF(H49&gt;0.7,"CaO EN EXCESO","SE CONSUMEN AMBOS"))</f>
        <v>CaO EN EXCESO</v>
      </c>
      <c r="G50" s="192"/>
      <c r="H50" s="135">
        <f>IF(F50="SO3 EN EXCESO",D7-G58,H48-E58)</f>
        <v>1.1727272727272755</v>
      </c>
      <c r="I50" s="133"/>
      <c r="J50" s="133"/>
      <c r="K50" s="133"/>
      <c r="O50" s="78"/>
      <c r="P50" s="78"/>
      <c r="Q50" s="78"/>
    </row>
    <row r="51" spans="1:17" hidden="1" x14ac:dyDescent="0.25">
      <c r="A51" s="17"/>
      <c r="C51" s="132"/>
      <c r="D51" s="133"/>
      <c r="E51" s="133"/>
      <c r="F51" s="133"/>
      <c r="G51" s="133"/>
      <c r="H51" s="133"/>
      <c r="I51" s="133"/>
      <c r="J51" s="133"/>
      <c r="K51" s="133"/>
      <c r="O51" s="78"/>
      <c r="P51" s="78"/>
      <c r="Q51" s="78"/>
    </row>
    <row r="52" spans="1:17" hidden="1" x14ac:dyDescent="0.25">
      <c r="A52" s="17"/>
      <c r="C52" s="132"/>
      <c r="D52" s="195" t="s">
        <v>106</v>
      </c>
      <c r="E52" s="195"/>
      <c r="F52" s="195"/>
      <c r="G52" s="195"/>
      <c r="H52" s="195"/>
      <c r="I52" s="195"/>
      <c r="J52" s="195"/>
      <c r="K52" s="133"/>
      <c r="O52" s="78"/>
      <c r="P52" s="78"/>
      <c r="Q52" s="78"/>
    </row>
    <row r="53" spans="1:17" hidden="1" x14ac:dyDescent="0.25">
      <c r="A53" s="17"/>
      <c r="C53" s="132"/>
      <c r="D53" s="133"/>
      <c r="E53" s="133"/>
      <c r="F53" s="133"/>
      <c r="G53" s="133"/>
      <c r="H53" s="133"/>
      <c r="I53" s="133"/>
      <c r="J53" s="133"/>
      <c r="K53" s="133"/>
      <c r="O53" s="78"/>
      <c r="P53" s="78"/>
      <c r="Q53" s="78"/>
    </row>
    <row r="54" spans="1:17" hidden="1" x14ac:dyDescent="0.25">
      <c r="A54" s="17"/>
      <c r="C54" s="132"/>
      <c r="E54" s="134" t="str">
        <f>IF(F50="CaO EN EXCESO","TRABAJAR CON SO3","TRABAJAR CON CaOdisp")</f>
        <v>TRABAJAR CON SO3</v>
      </c>
      <c r="G54" s="133"/>
      <c r="H54" s="133"/>
      <c r="I54" s="133"/>
      <c r="J54" s="133"/>
      <c r="K54" s="133"/>
      <c r="O54" s="78"/>
      <c r="P54" s="78"/>
      <c r="Q54" s="78"/>
    </row>
    <row r="55" spans="1:17" hidden="1" x14ac:dyDescent="0.25">
      <c r="A55" s="17"/>
      <c r="C55" s="132"/>
      <c r="E55" s="133"/>
      <c r="G55" s="133"/>
      <c r="H55" s="133"/>
      <c r="I55" s="133"/>
      <c r="J55" s="133"/>
      <c r="K55" s="133"/>
      <c r="O55" s="78"/>
      <c r="P55" s="78"/>
      <c r="Q55" s="78"/>
    </row>
    <row r="56" spans="1:17" hidden="1" x14ac:dyDescent="0.25">
      <c r="A56" s="17"/>
      <c r="C56" s="132"/>
      <c r="E56" s="134" t="str">
        <f>C6</f>
        <v>CaO</v>
      </c>
      <c r="F56" s="134" t="s">
        <v>114</v>
      </c>
      <c r="G56" s="134" t="str">
        <f>C7</f>
        <v>SO3</v>
      </c>
      <c r="H56" s="134" t="s">
        <v>104</v>
      </c>
      <c r="I56" s="134" t="str">
        <f>F6</f>
        <v>SO4Ca</v>
      </c>
      <c r="J56" s="133"/>
      <c r="K56" s="133"/>
      <c r="O56" s="78"/>
      <c r="P56" s="78"/>
      <c r="Q56" s="78"/>
    </row>
    <row r="57" spans="1:17" hidden="1" x14ac:dyDescent="0.25">
      <c r="A57" s="17"/>
      <c r="C57" s="132"/>
      <c r="E57" s="135">
        <f>C32</f>
        <v>56</v>
      </c>
      <c r="F57" s="135"/>
      <c r="G57" s="135">
        <f>C33</f>
        <v>80</v>
      </c>
      <c r="H57" s="135"/>
      <c r="I57" s="135">
        <f>I29</f>
        <v>136</v>
      </c>
      <c r="J57" s="133"/>
      <c r="K57" s="133"/>
      <c r="O57" s="78"/>
      <c r="P57" s="78"/>
      <c r="Q57" s="78"/>
    </row>
    <row r="58" spans="1:17" hidden="1" x14ac:dyDescent="0.25">
      <c r="A58" s="17"/>
      <c r="C58" s="132"/>
      <c r="E58" s="135">
        <f>IF(E54="TRABAJAR CON CaOdisp",H48,(E57*G58/G57))</f>
        <v>29.4</v>
      </c>
      <c r="F58" s="135"/>
      <c r="G58" s="135">
        <f>IF(E54="TRABAJAR CON CaOdisp",(E58*G57/E57),D7)</f>
        <v>42</v>
      </c>
      <c r="H58" s="135"/>
      <c r="I58" s="139">
        <f>E58+G58</f>
        <v>71.400000000000006</v>
      </c>
      <c r="J58" s="133"/>
      <c r="K58" s="133"/>
      <c r="O58" s="78"/>
      <c r="P58" s="78"/>
      <c r="Q58" s="78"/>
    </row>
    <row r="59" spans="1:17" hidden="1" x14ac:dyDescent="0.25">
      <c r="A59" s="17"/>
      <c r="C59" s="132"/>
      <c r="D59" s="133"/>
      <c r="E59" s="133"/>
      <c r="F59" s="133"/>
      <c r="G59" s="133"/>
      <c r="H59" s="133"/>
      <c r="I59" s="133"/>
      <c r="J59" s="133"/>
      <c r="K59" s="133"/>
      <c r="O59" s="78"/>
      <c r="P59" s="78"/>
      <c r="Q59" s="78"/>
    </row>
    <row r="60" spans="1:17" hidden="1" x14ac:dyDescent="0.25">
      <c r="A60" s="17"/>
      <c r="C60" s="132"/>
      <c r="E60" s="134" t="s">
        <v>103</v>
      </c>
      <c r="F60" s="192" t="s">
        <v>117</v>
      </c>
      <c r="G60" s="192"/>
      <c r="H60" s="135">
        <f>I58</f>
        <v>71.400000000000006</v>
      </c>
      <c r="I60" s="133"/>
      <c r="J60" s="133"/>
      <c r="K60" s="133"/>
      <c r="O60" s="78"/>
      <c r="P60" s="78"/>
      <c r="Q60" s="78"/>
    </row>
    <row r="61" spans="1:17" hidden="1" x14ac:dyDescent="0.25">
      <c r="A61" s="17"/>
      <c r="C61" s="132"/>
      <c r="E61" s="134" t="s">
        <v>104</v>
      </c>
      <c r="F61" s="192" t="s">
        <v>118</v>
      </c>
      <c r="G61" s="192"/>
      <c r="H61" s="135">
        <f>I58/D8</f>
        <v>3.9666666666666668</v>
      </c>
      <c r="I61" s="133"/>
      <c r="J61" s="133"/>
      <c r="K61" s="133"/>
      <c r="O61" s="78"/>
      <c r="P61" s="78"/>
      <c r="Q61" s="78"/>
    </row>
    <row r="62" spans="1:17" hidden="1" x14ac:dyDescent="0.25">
      <c r="A62" s="17"/>
      <c r="C62" s="132"/>
      <c r="E62" s="134" t="s">
        <v>105</v>
      </c>
      <c r="F62" s="192" t="str">
        <f>IF(H61&lt;(136/9),"H2O EN EXCESO",IF(H61&gt;(136/9),"H2O EN DEFECTO","SOLO HAY HEMIHIDRATO"))</f>
        <v>H2O EN EXCESO</v>
      </c>
      <c r="G62" s="192"/>
      <c r="H62" s="134"/>
      <c r="I62" s="133"/>
      <c r="J62" s="133"/>
      <c r="K62" s="133"/>
      <c r="O62" s="78"/>
      <c r="P62" s="78"/>
      <c r="Q62" s="78"/>
    </row>
    <row r="63" spans="1:17" hidden="1" x14ac:dyDescent="0.25">
      <c r="A63" s="17"/>
      <c r="C63" s="132"/>
      <c r="D63" s="133"/>
      <c r="E63" s="133"/>
      <c r="F63" s="133"/>
      <c r="G63" s="133"/>
      <c r="H63" s="133"/>
      <c r="I63" s="133"/>
      <c r="J63" s="133"/>
      <c r="K63" s="133"/>
      <c r="O63" s="78"/>
      <c r="P63" s="78"/>
      <c r="Q63" s="78"/>
    </row>
    <row r="64" spans="1:17" hidden="1" x14ac:dyDescent="0.25">
      <c r="A64" s="17"/>
      <c r="C64" s="132"/>
      <c r="D64" s="193" t="s">
        <v>107</v>
      </c>
      <c r="E64" s="193"/>
      <c r="F64" s="193"/>
      <c r="G64" s="193"/>
      <c r="H64" s="193"/>
      <c r="I64" s="193"/>
      <c r="J64" s="193"/>
      <c r="K64" s="133"/>
      <c r="O64" s="78"/>
      <c r="P64" s="78"/>
      <c r="Q64" s="78"/>
    </row>
    <row r="65" spans="1:17" hidden="1" x14ac:dyDescent="0.25">
      <c r="A65" s="17"/>
      <c r="C65" s="132"/>
      <c r="D65" s="132"/>
      <c r="E65" s="133"/>
      <c r="F65" s="133"/>
      <c r="G65" s="133"/>
      <c r="H65" s="133"/>
      <c r="I65" s="133"/>
      <c r="J65" s="133"/>
      <c r="K65" s="133"/>
      <c r="O65" s="78"/>
      <c r="P65" s="78"/>
      <c r="Q65" s="78"/>
    </row>
    <row r="66" spans="1:17" hidden="1" x14ac:dyDescent="0.25">
      <c r="A66" s="17"/>
      <c r="C66" s="132"/>
      <c r="D66" s="134" t="str">
        <f>F7</f>
        <v>SO4Ca(1/2H2O)</v>
      </c>
      <c r="E66" s="134" t="s">
        <v>114</v>
      </c>
      <c r="F66" s="134" t="str">
        <f>IF(F62="H2O EN EXCESO",F8,IF(F62="H2O EN DEFECTO",F6,0))</f>
        <v>SO4Ca(2H2O)</v>
      </c>
      <c r="G66" s="134" t="s">
        <v>104</v>
      </c>
      <c r="H66" s="134" t="str">
        <f>F6</f>
        <v>SO4Ca</v>
      </c>
      <c r="I66" s="134" t="s">
        <v>114</v>
      </c>
      <c r="J66" s="134" t="s">
        <v>119</v>
      </c>
      <c r="K66" s="133"/>
      <c r="O66" s="78"/>
      <c r="P66" s="78"/>
      <c r="Q66" s="78"/>
    </row>
    <row r="67" spans="1:17" hidden="1" x14ac:dyDescent="0.25">
      <c r="A67" s="17"/>
      <c r="C67" s="132"/>
      <c r="D67" s="134" t="s">
        <v>20</v>
      </c>
      <c r="E67" s="134" t="s">
        <v>114</v>
      </c>
      <c r="F67" s="134" t="s">
        <v>18</v>
      </c>
      <c r="G67" s="134"/>
      <c r="H67" s="135">
        <f>I58</f>
        <v>71.400000000000006</v>
      </c>
      <c r="I67" s="134" t="s">
        <v>114</v>
      </c>
      <c r="J67" s="134">
        <f>D8</f>
        <v>18</v>
      </c>
      <c r="K67" s="133"/>
      <c r="O67" s="78"/>
      <c r="P67" s="78"/>
      <c r="Q67" s="78"/>
    </row>
    <row r="68" spans="1:17" hidden="1" x14ac:dyDescent="0.25">
      <c r="A68" s="17"/>
      <c r="C68" s="132"/>
      <c r="D68" s="189" t="s">
        <v>120</v>
      </c>
      <c r="E68" s="196"/>
      <c r="F68" s="190"/>
      <c r="G68" s="134" t="s">
        <v>39</v>
      </c>
      <c r="H68" s="197">
        <f>H67+J67</f>
        <v>89.4</v>
      </c>
      <c r="I68" s="198"/>
      <c r="J68" s="199"/>
      <c r="K68" s="133"/>
      <c r="O68" s="78"/>
      <c r="P68" s="78"/>
      <c r="Q68" s="78"/>
    </row>
    <row r="69" spans="1:17" hidden="1" x14ac:dyDescent="0.25">
      <c r="A69" s="17"/>
      <c r="C69" s="132"/>
      <c r="D69" s="133"/>
      <c r="E69" s="133"/>
      <c r="F69" s="133"/>
      <c r="G69" s="133"/>
      <c r="H69" s="133"/>
      <c r="I69" s="133"/>
      <c r="J69" s="133"/>
      <c r="K69" s="133"/>
      <c r="O69" s="78"/>
      <c r="P69" s="78"/>
      <c r="Q69" s="78"/>
    </row>
    <row r="70" spans="1:17" hidden="1" x14ac:dyDescent="0.25">
      <c r="A70" s="17"/>
      <c r="C70" s="132"/>
      <c r="D70" s="134" t="s">
        <v>122</v>
      </c>
      <c r="E70" s="134" t="str">
        <f>F7</f>
        <v>SO4Ca(1/2H2O)</v>
      </c>
      <c r="F70" s="134" t="s">
        <v>104</v>
      </c>
      <c r="G70" s="134" t="str">
        <f>F6</f>
        <v>SO4Ca</v>
      </c>
      <c r="H70" s="134" t="s">
        <v>114</v>
      </c>
      <c r="I70" s="134" t="s">
        <v>123</v>
      </c>
      <c r="J70" s="133"/>
      <c r="K70" s="133"/>
      <c r="O70" s="78"/>
      <c r="P70" s="78"/>
      <c r="Q70" s="78"/>
    </row>
    <row r="71" spans="1:17" hidden="1" x14ac:dyDescent="0.25">
      <c r="A71" s="17"/>
      <c r="C71" s="132"/>
      <c r="D71" s="134"/>
      <c r="E71" s="136">
        <f>K29</f>
        <v>145</v>
      </c>
      <c r="F71" s="134"/>
      <c r="G71" s="134">
        <f>I29</f>
        <v>136</v>
      </c>
      <c r="H71" s="134"/>
      <c r="I71" s="134">
        <v>9</v>
      </c>
      <c r="J71" s="133"/>
      <c r="O71" s="78"/>
      <c r="P71" s="78"/>
      <c r="Q71" s="78"/>
    </row>
    <row r="72" spans="1:17" hidden="1" x14ac:dyDescent="0.25">
      <c r="A72" s="17"/>
      <c r="C72" s="132"/>
      <c r="D72" s="137" t="s">
        <v>125</v>
      </c>
      <c r="E72" s="138">
        <f>IF(E76="SOLO HAY HEMIHIDRATO",(E71*I72/I71),IF(E76="SO4Ca",(E71*I72/I71),(E71*((D8*E77)-(I77*H68))/((E77*I71)-(I77*E71)))))</f>
        <v>4.8333333333333375</v>
      </c>
      <c r="F72" s="134"/>
      <c r="G72" s="134"/>
      <c r="H72" s="134"/>
      <c r="I72" s="134" t="e">
        <f>IF(E76="SOLO HAY HEMIHIDRATO",D8,IF(E76="SO4Ca",D8,D8-I78))</f>
        <v>#VALUE!</v>
      </c>
      <c r="J72" s="133"/>
      <c r="O72" s="78"/>
      <c r="P72" s="78"/>
      <c r="Q72" s="78"/>
    </row>
    <row r="73" spans="1:17" hidden="1" x14ac:dyDescent="0.25">
      <c r="A73" s="17"/>
      <c r="C73" s="132"/>
      <c r="D73" s="133"/>
      <c r="E73" s="133"/>
      <c r="F73" s="133"/>
      <c r="G73" s="133"/>
      <c r="H73" s="133"/>
      <c r="I73" s="133"/>
      <c r="J73" s="133"/>
      <c r="K73" s="133"/>
      <c r="O73" s="78"/>
      <c r="P73" s="78"/>
      <c r="Q73" s="78"/>
    </row>
    <row r="74" spans="1:17" hidden="1" x14ac:dyDescent="0.25">
      <c r="A74" s="17"/>
      <c r="C74" s="132"/>
      <c r="D74" s="133"/>
      <c r="E74" s="134" t="s">
        <v>124</v>
      </c>
      <c r="F74" s="189" t="str">
        <f>IF(E72&gt;=80,"ESCAYOLA",IF(E72&gt;=66,"YESO BLANCO",IF(E72&gt;=50,"YESO NEGRO","ALGEZ")))</f>
        <v>ALGEZ</v>
      </c>
      <c r="G74" s="190"/>
      <c r="H74" s="133"/>
      <c r="I74" s="133"/>
      <c r="J74" s="133"/>
      <c r="K74" s="133"/>
      <c r="O74" s="78"/>
      <c r="P74" s="78"/>
      <c r="Q74" s="78"/>
    </row>
    <row r="75" spans="1:17" hidden="1" x14ac:dyDescent="0.25">
      <c r="A75" s="17"/>
      <c r="C75" s="132"/>
      <c r="D75" s="133"/>
      <c r="E75" s="133"/>
      <c r="F75" s="133"/>
      <c r="G75" s="133"/>
      <c r="H75" s="133"/>
      <c r="I75" s="133"/>
      <c r="J75" s="133"/>
      <c r="K75" s="133"/>
      <c r="O75" s="78"/>
      <c r="P75" s="78"/>
      <c r="Q75" s="78"/>
    </row>
    <row r="76" spans="1:17" hidden="1" x14ac:dyDescent="0.25">
      <c r="A76" s="17"/>
      <c r="C76" s="132"/>
      <c r="D76" s="134" t="s">
        <v>122</v>
      </c>
      <c r="E76" s="134" t="str">
        <f>IF(F62="H2O EN EXCESO",F8,IF(F62="H2O EN DEFECTO",F6,"SOLO HAY HEMIHIDRATO"))</f>
        <v>SO4Ca(2H2O)</v>
      </c>
      <c r="F76" s="134" t="s">
        <v>104</v>
      </c>
      <c r="G76" s="134" t="str">
        <f>F6</f>
        <v>SO4Ca</v>
      </c>
      <c r="H76" s="134" t="s">
        <v>114</v>
      </c>
      <c r="I76" s="134" t="str">
        <f>IF(E76="SO4Ca(2H2O)","2H2O","0H20")</f>
        <v>2H2O</v>
      </c>
      <c r="J76" s="133"/>
      <c r="K76" s="133"/>
      <c r="O76" s="78"/>
      <c r="P76" s="78"/>
      <c r="Q76" s="78"/>
    </row>
    <row r="77" spans="1:17" hidden="1" x14ac:dyDescent="0.25">
      <c r="A77" s="17"/>
      <c r="C77" s="132"/>
      <c r="D77" s="134"/>
      <c r="E77" s="136">
        <f>IF(E76="SO4Ca(2H2O)",M29,I29)</f>
        <v>172</v>
      </c>
      <c r="F77" s="134"/>
      <c r="G77" s="134">
        <f>I29</f>
        <v>136</v>
      </c>
      <c r="H77" s="134"/>
      <c r="I77" s="134">
        <f>IF(I76="2H2O",36,0)</f>
        <v>36</v>
      </c>
      <c r="J77" s="133"/>
      <c r="K77" s="133"/>
      <c r="O77" s="78"/>
      <c r="P77" s="78"/>
      <c r="Q77" s="78"/>
    </row>
    <row r="78" spans="1:17" hidden="1" x14ac:dyDescent="0.25">
      <c r="A78" s="17"/>
      <c r="C78" s="132"/>
      <c r="D78" s="137" t="s">
        <v>126</v>
      </c>
      <c r="E78" s="138">
        <f>H68-E72</f>
        <v>84.566666666666663</v>
      </c>
      <c r="F78" s="134"/>
      <c r="G78" s="134"/>
      <c r="H78" s="134"/>
      <c r="I78" s="134" t="str">
        <f>IF(E76="SO4Ca",0,"j")</f>
        <v>j</v>
      </c>
      <c r="J78" s="133"/>
      <c r="K78" s="133"/>
      <c r="O78" s="78"/>
      <c r="P78" s="78"/>
      <c r="Q78" s="78"/>
    </row>
    <row r="79" spans="1:17" hidden="1" x14ac:dyDescent="0.25">
      <c r="A79" s="17"/>
      <c r="C79" s="132"/>
      <c r="D79" s="133"/>
      <c r="E79" s="133"/>
      <c r="F79" s="133"/>
      <c r="G79" s="133"/>
      <c r="H79" s="133"/>
      <c r="I79" s="133"/>
      <c r="J79" s="133"/>
      <c r="K79" s="133"/>
      <c r="O79" s="78"/>
      <c r="P79" s="78"/>
      <c r="Q79" s="78"/>
    </row>
    <row r="80" spans="1:17" hidden="1" x14ac:dyDescent="0.25">
      <c r="A80" s="17"/>
      <c r="C80" s="132"/>
      <c r="D80" s="194" t="s">
        <v>127</v>
      </c>
      <c r="E80" s="194"/>
      <c r="F80" s="194"/>
      <c r="G80" s="194"/>
      <c r="H80" s="194"/>
      <c r="I80" s="194"/>
      <c r="J80" s="194"/>
      <c r="K80" s="133"/>
      <c r="O80" s="78"/>
      <c r="P80" s="78"/>
      <c r="Q80" s="78"/>
    </row>
    <row r="81" spans="1:17" hidden="1" x14ac:dyDescent="0.25">
      <c r="A81" s="17"/>
      <c r="C81" s="132"/>
      <c r="D81" s="133"/>
      <c r="E81" s="133"/>
      <c r="F81" s="133"/>
      <c r="G81" s="133"/>
      <c r="H81" s="133"/>
      <c r="I81" s="133"/>
      <c r="J81" s="133"/>
      <c r="K81" s="133"/>
      <c r="O81" s="78"/>
      <c r="P81" s="78"/>
      <c r="Q81" s="78"/>
    </row>
    <row r="82" spans="1:17" hidden="1" x14ac:dyDescent="0.25">
      <c r="A82" s="17"/>
      <c r="C82" s="132"/>
      <c r="D82" s="133" t="str">
        <f>IF(F74="ALGEZ","PROCEDE","NO PROCEDE")</f>
        <v>PROCEDE</v>
      </c>
      <c r="E82" s="191" t="s">
        <v>128</v>
      </c>
      <c r="F82" s="191"/>
      <c r="G82" s="191"/>
      <c r="H82" s="191"/>
      <c r="I82" s="191"/>
      <c r="J82" s="191"/>
      <c r="K82" s="133"/>
      <c r="O82" s="78"/>
      <c r="P82" s="78"/>
      <c r="Q82" s="78"/>
    </row>
    <row r="83" spans="1:17" hidden="1" x14ac:dyDescent="0.25">
      <c r="A83" s="17"/>
      <c r="C83" s="132"/>
      <c r="D83" s="132"/>
      <c r="E83" s="132"/>
      <c r="F83" s="132"/>
      <c r="G83" s="132"/>
      <c r="H83" s="132"/>
      <c r="I83" s="132"/>
      <c r="J83" s="132"/>
      <c r="K83" s="133"/>
      <c r="L83" s="78"/>
      <c r="M83" s="78"/>
      <c r="N83" s="78"/>
      <c r="O83" s="78"/>
      <c r="P83" s="78"/>
      <c r="Q83" s="78"/>
    </row>
    <row r="84" spans="1:17" hidden="1" x14ac:dyDescent="0.25">
      <c r="A84" s="17"/>
      <c r="C84" s="132"/>
      <c r="D84" s="134" t="str">
        <f>F6</f>
        <v>SO4Ca</v>
      </c>
      <c r="E84" s="134" t="s">
        <v>114</v>
      </c>
      <c r="F84" s="134" t="str">
        <f>F8</f>
        <v>SO4Ca(2H2O)</v>
      </c>
      <c r="G84" s="134" t="s">
        <v>104</v>
      </c>
      <c r="H84" s="134" t="str">
        <f>F6</f>
        <v>SO4Ca</v>
      </c>
      <c r="I84" s="134" t="s">
        <v>114</v>
      </c>
      <c r="J84" s="134" t="s">
        <v>119</v>
      </c>
      <c r="K84" s="133"/>
      <c r="L84" s="78"/>
      <c r="M84" s="78"/>
      <c r="N84" s="78"/>
      <c r="O84" s="78"/>
      <c r="P84" s="78"/>
      <c r="Q84" s="78"/>
    </row>
    <row r="85" spans="1:17" hidden="1" x14ac:dyDescent="0.25">
      <c r="A85" s="17"/>
      <c r="C85" s="132"/>
      <c r="D85" s="134" t="s">
        <v>20</v>
      </c>
      <c r="E85" s="134"/>
      <c r="F85" s="134" t="s">
        <v>18</v>
      </c>
      <c r="G85" s="134"/>
      <c r="H85" s="134">
        <f>H60</f>
        <v>71.400000000000006</v>
      </c>
      <c r="I85" s="134"/>
      <c r="J85" s="134">
        <f>D8</f>
        <v>18</v>
      </c>
      <c r="K85" s="133"/>
      <c r="L85" s="78"/>
      <c r="M85" s="78"/>
      <c r="N85" s="78"/>
      <c r="O85" s="78"/>
      <c r="P85" s="78"/>
      <c r="Q85" s="78"/>
    </row>
    <row r="86" spans="1:17" hidden="1" x14ac:dyDescent="0.25">
      <c r="A86" s="17"/>
      <c r="C86" s="132"/>
      <c r="D86" s="134"/>
      <c r="E86" s="134"/>
      <c r="F86" s="134" t="s">
        <v>120</v>
      </c>
      <c r="G86" s="134" t="s">
        <v>39</v>
      </c>
      <c r="H86" s="134">
        <f>H85+J85</f>
        <v>89.4</v>
      </c>
      <c r="I86" s="134"/>
      <c r="J86" s="134"/>
      <c r="K86" s="133"/>
      <c r="L86" s="78"/>
      <c r="M86" s="78"/>
      <c r="N86" s="78"/>
      <c r="O86" s="78"/>
      <c r="P86" s="78"/>
      <c r="Q86" s="78"/>
    </row>
    <row r="87" spans="1:17" hidden="1" x14ac:dyDescent="0.25">
      <c r="A87" s="17"/>
      <c r="C87" s="132"/>
      <c r="D87" s="133"/>
      <c r="E87" s="133"/>
      <c r="F87" s="133"/>
      <c r="G87" s="133"/>
      <c r="H87" s="133"/>
      <c r="I87" s="133"/>
      <c r="J87" s="133"/>
      <c r="K87" s="133"/>
      <c r="L87" s="78"/>
      <c r="M87" s="78"/>
      <c r="N87" s="78"/>
      <c r="O87" s="78"/>
      <c r="P87" s="78"/>
      <c r="Q87" s="78"/>
    </row>
    <row r="88" spans="1:17" hidden="1" x14ac:dyDescent="0.25">
      <c r="A88" s="17"/>
      <c r="C88" s="132"/>
      <c r="D88" s="134" t="s">
        <v>122</v>
      </c>
      <c r="E88" s="134" t="str">
        <f>F8</f>
        <v>SO4Ca(2H2O)</v>
      </c>
      <c r="F88" s="134" t="s">
        <v>104</v>
      </c>
      <c r="G88" s="134" t="str">
        <f>F6</f>
        <v>SO4Ca</v>
      </c>
      <c r="H88" s="134" t="s">
        <v>114</v>
      </c>
      <c r="I88" s="134" t="s">
        <v>129</v>
      </c>
      <c r="J88" s="133"/>
      <c r="K88" s="133"/>
      <c r="L88" s="78"/>
      <c r="M88" s="78"/>
      <c r="N88" s="78"/>
      <c r="O88" s="78"/>
      <c r="P88" s="78"/>
      <c r="Q88" s="78"/>
    </row>
    <row r="89" spans="1:17" hidden="1" x14ac:dyDescent="0.25">
      <c r="A89" s="17"/>
      <c r="C89" s="132"/>
      <c r="D89" s="134"/>
      <c r="E89" s="134">
        <f>M29</f>
        <v>172</v>
      </c>
      <c r="F89" s="134"/>
      <c r="G89" s="134">
        <f>I29</f>
        <v>136</v>
      </c>
      <c r="H89" s="134"/>
      <c r="I89" s="134">
        <v>36</v>
      </c>
      <c r="J89" s="133"/>
      <c r="K89" s="133"/>
      <c r="L89" s="78"/>
      <c r="M89" s="78"/>
      <c r="N89" s="78"/>
      <c r="O89" s="78"/>
      <c r="P89" s="78"/>
      <c r="Q89" s="78"/>
    </row>
    <row r="90" spans="1:17" hidden="1" x14ac:dyDescent="0.25">
      <c r="A90" s="17"/>
      <c r="C90" s="132"/>
      <c r="D90" s="134"/>
      <c r="E90" s="134">
        <f>E89*I90/I89</f>
        <v>86</v>
      </c>
      <c r="F90" s="134"/>
      <c r="G90" s="134"/>
      <c r="H90" s="134"/>
      <c r="I90" s="134">
        <f>D8</f>
        <v>18</v>
      </c>
      <c r="J90" s="133"/>
      <c r="K90" s="133"/>
      <c r="L90" s="78"/>
      <c r="M90" s="78"/>
      <c r="N90" s="78"/>
      <c r="O90" s="78"/>
      <c r="P90" s="78"/>
      <c r="Q90" s="78"/>
    </row>
    <row r="91" spans="1:17" hidden="1" x14ac:dyDescent="0.25">
      <c r="A91" s="17"/>
      <c r="C91" s="132"/>
      <c r="D91" s="133"/>
      <c r="E91" s="133"/>
      <c r="F91" s="133"/>
      <c r="G91" s="133"/>
      <c r="H91" s="133"/>
      <c r="I91" s="133"/>
      <c r="J91" s="133"/>
      <c r="K91" s="133"/>
      <c r="L91" s="78"/>
      <c r="M91" s="78"/>
      <c r="N91" s="78"/>
      <c r="O91" s="78"/>
      <c r="P91" s="78"/>
      <c r="Q91" s="78"/>
    </row>
    <row r="92" spans="1:17" hidden="1" x14ac:dyDescent="0.25">
      <c r="A92" s="17"/>
      <c r="C92" s="132"/>
      <c r="D92" s="133"/>
      <c r="F92" s="134" t="str">
        <f>F8</f>
        <v>SO4Ca(2H2O)</v>
      </c>
      <c r="G92" s="138">
        <f>E90</f>
        <v>86</v>
      </c>
      <c r="H92" s="133"/>
      <c r="I92" s="133"/>
      <c r="J92" s="133"/>
      <c r="K92" s="133"/>
      <c r="L92" s="78"/>
      <c r="M92" s="78"/>
      <c r="N92" s="78"/>
      <c r="O92" s="78"/>
      <c r="P92" s="78"/>
      <c r="Q92" s="78"/>
    </row>
    <row r="93" spans="1:17" hidden="1" x14ac:dyDescent="0.25">
      <c r="A93" s="17"/>
      <c r="C93" s="132"/>
      <c r="D93" s="133"/>
      <c r="F93" s="134" t="str">
        <f>F6</f>
        <v>SO4Ca</v>
      </c>
      <c r="G93" s="138">
        <f>H86-G92</f>
        <v>3.4000000000000057</v>
      </c>
      <c r="H93" s="133"/>
      <c r="I93" s="133"/>
      <c r="J93" s="133"/>
      <c r="K93" s="133"/>
      <c r="L93" s="78"/>
      <c r="M93" s="78"/>
      <c r="N93" s="78"/>
      <c r="O93" s="78"/>
      <c r="P93" s="78"/>
      <c r="Q93" s="78"/>
    </row>
    <row r="94" spans="1:17" hidden="1" x14ac:dyDescent="0.25">
      <c r="A94" s="17"/>
      <c r="C94" s="132"/>
      <c r="D94" s="133"/>
      <c r="E94" s="133"/>
      <c r="F94" s="133"/>
      <c r="G94" s="133"/>
      <c r="H94" s="133"/>
      <c r="I94" s="133"/>
      <c r="J94" s="133"/>
      <c r="K94" s="133"/>
      <c r="L94" s="78"/>
      <c r="M94" s="78"/>
      <c r="N94" s="78"/>
      <c r="O94" s="78"/>
      <c r="P94" s="78"/>
      <c r="Q94" s="78"/>
    </row>
    <row r="95" spans="1:17" x14ac:dyDescent="0.25">
      <c r="A95" s="17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</row>
    <row r="96" spans="1:17" x14ac:dyDescent="0.25"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</row>
    <row r="97" spans="4:17" x14ac:dyDescent="0.25"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</row>
    <row r="98" spans="4:17" x14ac:dyDescent="0.25"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</row>
    <row r="99" spans="4:17" x14ac:dyDescent="0.25"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</row>
    <row r="100" spans="4:17" x14ac:dyDescent="0.25"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</row>
    <row r="101" spans="4:17" x14ac:dyDescent="0.25"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</row>
    <row r="102" spans="4:17" x14ac:dyDescent="0.25"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</row>
    <row r="103" spans="4:17" x14ac:dyDescent="0.25"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</row>
    <row r="104" spans="4:17" x14ac:dyDescent="0.25"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</row>
    <row r="105" spans="4:17" x14ac:dyDescent="0.25"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</row>
    <row r="106" spans="4:17" x14ac:dyDescent="0.25"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</row>
    <row r="107" spans="4:17" x14ac:dyDescent="0.25"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</row>
    <row r="108" spans="4:17" x14ac:dyDescent="0.25"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</row>
    <row r="109" spans="4:17" x14ac:dyDescent="0.25"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</row>
    <row r="110" spans="4:17" x14ac:dyDescent="0.25"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</row>
    <row r="111" spans="4:17" x14ac:dyDescent="0.25"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</row>
    <row r="112" spans="4:17" x14ac:dyDescent="0.25"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</row>
    <row r="113" spans="4:17" x14ac:dyDescent="0.25"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</row>
    <row r="114" spans="4:17" x14ac:dyDescent="0.25"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</row>
    <row r="115" spans="4:17" x14ac:dyDescent="0.25"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</row>
    <row r="116" spans="4:17" x14ac:dyDescent="0.25"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</row>
    <row r="117" spans="4:17" x14ac:dyDescent="0.25"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</row>
    <row r="118" spans="4:17" x14ac:dyDescent="0.25"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</row>
    <row r="119" spans="4:17" x14ac:dyDescent="0.25"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</row>
    <row r="120" spans="4:17" x14ac:dyDescent="0.25"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</row>
    <row r="121" spans="4:17" x14ac:dyDescent="0.25"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</row>
    <row r="122" spans="4:17" x14ac:dyDescent="0.25"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</row>
    <row r="123" spans="4:17" x14ac:dyDescent="0.25"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</row>
    <row r="124" spans="4:17" x14ac:dyDescent="0.25"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</row>
    <row r="125" spans="4:17" x14ac:dyDescent="0.25"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</row>
    <row r="126" spans="4:17" x14ac:dyDescent="0.25"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</row>
    <row r="127" spans="4:17" x14ac:dyDescent="0.25"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</row>
    <row r="128" spans="4:17" x14ac:dyDescent="0.25"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</row>
    <row r="129" spans="4:17" x14ac:dyDescent="0.25"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</row>
    <row r="130" spans="4:17" x14ac:dyDescent="0.25"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</row>
    <row r="131" spans="4:17" x14ac:dyDescent="0.25"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</row>
    <row r="132" spans="4:17" x14ac:dyDescent="0.25"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</row>
    <row r="133" spans="4:17" x14ac:dyDescent="0.25"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</row>
    <row r="134" spans="4:17" x14ac:dyDescent="0.25"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</row>
    <row r="135" spans="4:17" x14ac:dyDescent="0.25"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</row>
    <row r="136" spans="4:17" x14ac:dyDescent="0.25"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</row>
    <row r="137" spans="4:17" x14ac:dyDescent="0.25"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</row>
    <row r="138" spans="4:17" x14ac:dyDescent="0.25"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</row>
    <row r="139" spans="4:17" x14ac:dyDescent="0.25"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</row>
    <row r="140" spans="4:17" x14ac:dyDescent="0.25"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</row>
    <row r="141" spans="4:17" x14ac:dyDescent="0.25"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</row>
    <row r="142" spans="4:17" x14ac:dyDescent="0.25"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</row>
    <row r="143" spans="4:17" x14ac:dyDescent="0.25"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</row>
    <row r="144" spans="4:17" x14ac:dyDescent="0.25"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</row>
    <row r="145" spans="4:17" x14ac:dyDescent="0.25"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</row>
    <row r="146" spans="4:17" x14ac:dyDescent="0.25"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</row>
    <row r="147" spans="4:17" x14ac:dyDescent="0.25"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</row>
    <row r="148" spans="4:17" x14ac:dyDescent="0.25"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</row>
    <row r="149" spans="4:17" x14ac:dyDescent="0.25"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</row>
    <row r="150" spans="4:17" x14ac:dyDescent="0.25"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</row>
    <row r="151" spans="4:17" x14ac:dyDescent="0.25"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</row>
    <row r="152" spans="4:17" x14ac:dyDescent="0.25"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</row>
    <row r="153" spans="4:17" x14ac:dyDescent="0.25"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</row>
    <row r="154" spans="4:17" x14ac:dyDescent="0.25"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</row>
    <row r="155" spans="4:17" x14ac:dyDescent="0.25"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</row>
    <row r="156" spans="4:17" x14ac:dyDescent="0.25"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</row>
    <row r="157" spans="4:17" x14ac:dyDescent="0.25"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</row>
    <row r="158" spans="4:17" x14ac:dyDescent="0.25"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</row>
    <row r="159" spans="4:17" x14ac:dyDescent="0.25"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</row>
    <row r="160" spans="4:17" x14ac:dyDescent="0.25"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</row>
    <row r="161" spans="4:17" x14ac:dyDescent="0.25"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</row>
    <row r="162" spans="4:17" x14ac:dyDescent="0.25"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</row>
    <row r="163" spans="4:17" x14ac:dyDescent="0.25"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</row>
    <row r="164" spans="4:17" x14ac:dyDescent="0.25"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</row>
    <row r="165" spans="4:17" x14ac:dyDescent="0.25"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</row>
    <row r="166" spans="4:17" x14ac:dyDescent="0.25"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</row>
    <row r="167" spans="4:17" x14ac:dyDescent="0.25"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</row>
    <row r="168" spans="4:17" x14ac:dyDescent="0.25"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</row>
    <row r="169" spans="4:17" x14ac:dyDescent="0.25"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</row>
    <row r="170" spans="4:17" x14ac:dyDescent="0.25"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</row>
    <row r="171" spans="4:17" x14ac:dyDescent="0.25"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</row>
    <row r="172" spans="4:17" x14ac:dyDescent="0.25"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</row>
    <row r="173" spans="4:17" x14ac:dyDescent="0.25"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</row>
    <row r="174" spans="4:17" x14ac:dyDescent="0.25"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</row>
    <row r="175" spans="4:17" x14ac:dyDescent="0.25"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</row>
    <row r="176" spans="4:17" x14ac:dyDescent="0.25"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</row>
    <row r="177" spans="4:17" x14ac:dyDescent="0.25"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</row>
    <row r="178" spans="4:17" x14ac:dyDescent="0.25"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</row>
    <row r="179" spans="4:17" x14ac:dyDescent="0.25"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</row>
    <row r="180" spans="4:17" x14ac:dyDescent="0.25"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</row>
    <row r="181" spans="4:17" x14ac:dyDescent="0.25"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</row>
    <row r="182" spans="4:17" x14ac:dyDescent="0.25"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</row>
    <row r="183" spans="4:17" x14ac:dyDescent="0.25"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</row>
    <row r="184" spans="4:17" x14ac:dyDescent="0.25"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</row>
    <row r="185" spans="4:17" x14ac:dyDescent="0.25"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</row>
    <row r="186" spans="4:17" x14ac:dyDescent="0.25"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</row>
    <row r="187" spans="4:17" x14ac:dyDescent="0.25"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</row>
    <row r="188" spans="4:17" x14ac:dyDescent="0.25"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</row>
    <row r="189" spans="4:17" x14ac:dyDescent="0.25"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</row>
    <row r="190" spans="4:17" x14ac:dyDescent="0.25"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</row>
  </sheetData>
  <mergeCells count="41">
    <mergeCell ref="D42:J42"/>
    <mergeCell ref="D36:J36"/>
    <mergeCell ref="D28:E28"/>
    <mergeCell ref="C1:D2"/>
    <mergeCell ref="F1:H2"/>
    <mergeCell ref="F6:G6"/>
    <mergeCell ref="F7:G7"/>
    <mergeCell ref="F8:G8"/>
    <mergeCell ref="F9:G9"/>
    <mergeCell ref="F10:G10"/>
    <mergeCell ref="F4:G4"/>
    <mergeCell ref="F5:G5"/>
    <mergeCell ref="J5:N5"/>
    <mergeCell ref="J3:N3"/>
    <mergeCell ref="J12:N12"/>
    <mergeCell ref="J16:N16"/>
    <mergeCell ref="F28:G28"/>
    <mergeCell ref="H28:I28"/>
    <mergeCell ref="J28:K28"/>
    <mergeCell ref="K7:M7"/>
    <mergeCell ref="K9:L9"/>
    <mergeCell ref="K10:L10"/>
    <mergeCell ref="K18:L18"/>
    <mergeCell ref="K19:L19"/>
    <mergeCell ref="L28:M28"/>
    <mergeCell ref="K23:M23"/>
    <mergeCell ref="K14:M14"/>
    <mergeCell ref="J21:N21"/>
    <mergeCell ref="F74:G74"/>
    <mergeCell ref="E82:J82"/>
    <mergeCell ref="F48:G48"/>
    <mergeCell ref="F49:G49"/>
    <mergeCell ref="F50:G50"/>
    <mergeCell ref="F60:G60"/>
    <mergeCell ref="D64:J64"/>
    <mergeCell ref="D80:J80"/>
    <mergeCell ref="D52:J52"/>
    <mergeCell ref="F61:G61"/>
    <mergeCell ref="F62:G62"/>
    <mergeCell ref="D68:F68"/>
    <mergeCell ref="H68:J68"/>
  </mergeCells>
  <pageMargins left="0.7" right="0.7" top="0.75" bottom="0.75" header="0.3" footer="0.3"/>
  <pageSetup orientation="portrait" horizontalDpi="30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Z137"/>
  <sheetViews>
    <sheetView topLeftCell="A12" zoomScale="70" zoomScaleNormal="70" workbookViewId="0">
      <selection activeCell="E23" sqref="E23"/>
    </sheetView>
  </sheetViews>
  <sheetFormatPr baseColWidth="10" defaultRowHeight="15" x14ac:dyDescent="0.25"/>
  <cols>
    <col min="1" max="1" width="16.7109375" bestFit="1" customWidth="1"/>
    <col min="3" max="3" width="11.5703125" bestFit="1" customWidth="1"/>
    <col min="4" max="4" width="13.42578125" bestFit="1" customWidth="1"/>
    <col min="5" max="5" width="12.42578125" bestFit="1" customWidth="1"/>
    <col min="6" max="6" width="18" customWidth="1"/>
    <col min="7" max="7" width="15" bestFit="1" customWidth="1"/>
    <col min="8" max="8" width="10" bestFit="1" customWidth="1"/>
    <col min="9" max="9" width="10.140625" bestFit="1" customWidth="1"/>
    <col min="10" max="10" width="11.85546875" customWidth="1"/>
    <col min="11" max="11" width="12.42578125" bestFit="1" customWidth="1"/>
    <col min="12" max="12" width="2.140625" customWidth="1"/>
    <col min="13" max="13" width="10" bestFit="1" customWidth="1"/>
    <col min="14" max="14" width="8.85546875" bestFit="1" customWidth="1"/>
    <col min="16" max="16" width="8.140625" customWidth="1"/>
    <col min="17" max="17" width="10" bestFit="1" customWidth="1"/>
    <col min="18" max="19" width="8.140625" bestFit="1" customWidth="1"/>
    <col min="20" max="20" width="9.28515625" bestFit="1" customWidth="1"/>
    <col min="21" max="22" width="8.140625" bestFit="1" customWidth="1"/>
    <col min="23" max="23" width="8.28515625" bestFit="1" customWidth="1"/>
    <col min="24" max="25" width="8.140625" bestFit="1" customWidth="1"/>
    <col min="26" max="26" width="12.28515625" customWidth="1"/>
    <col min="27" max="27" width="11.42578125" customWidth="1"/>
  </cols>
  <sheetData>
    <row r="2" spans="3:26" ht="26.25" x14ac:dyDescent="0.25">
      <c r="G2" s="227" t="s">
        <v>135</v>
      </c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</row>
    <row r="3" spans="3:26" ht="15.75" x14ac:dyDescent="0.25">
      <c r="C3" s="151" t="s">
        <v>136</v>
      </c>
      <c r="D3" s="228" t="s">
        <v>137</v>
      </c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</row>
    <row r="4" spans="3:26" ht="15.75" x14ac:dyDescent="0.25">
      <c r="C4" s="152"/>
      <c r="D4" s="228" t="s">
        <v>138</v>
      </c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</row>
    <row r="7" spans="3:26" ht="15.75" thickBot="1" x14ac:dyDescent="0.3"/>
    <row r="8" spans="3:26" x14ac:dyDescent="0.25">
      <c r="C8" s="1" t="s">
        <v>12</v>
      </c>
      <c r="D8" s="161" t="s">
        <v>51</v>
      </c>
      <c r="E8" s="161"/>
      <c r="L8" s="26"/>
      <c r="M8" s="27"/>
      <c r="N8" s="27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1"/>
    </row>
    <row r="9" spans="3:26" ht="26.25" x14ac:dyDescent="0.25">
      <c r="C9" s="1" t="s">
        <v>11</v>
      </c>
      <c r="D9" s="161" t="s">
        <v>50</v>
      </c>
      <c r="E9" s="161"/>
      <c r="G9" t="s">
        <v>13</v>
      </c>
      <c r="L9" s="59"/>
      <c r="M9" s="243" t="s">
        <v>71</v>
      </c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31"/>
    </row>
    <row r="10" spans="3:26" ht="18.75" x14ac:dyDescent="0.3">
      <c r="C10" s="1" t="s">
        <v>9</v>
      </c>
      <c r="D10" s="161" t="s">
        <v>49</v>
      </c>
      <c r="E10" s="161"/>
      <c r="L10" s="60"/>
      <c r="M10" s="73"/>
      <c r="N10" s="73"/>
      <c r="O10" s="81"/>
      <c r="P10" s="81"/>
      <c r="Q10" s="73"/>
      <c r="R10" s="73"/>
      <c r="S10" s="82"/>
      <c r="T10" s="82"/>
      <c r="U10" s="82"/>
      <c r="V10" s="82"/>
      <c r="W10" s="82"/>
      <c r="X10" s="82"/>
      <c r="Y10" s="82"/>
      <c r="Z10" s="31"/>
    </row>
    <row r="11" spans="3:26" ht="23.25" x14ac:dyDescent="0.35">
      <c r="C11" s="1" t="s">
        <v>10</v>
      </c>
      <c r="D11" s="161" t="s">
        <v>48</v>
      </c>
      <c r="E11" s="161"/>
      <c r="L11" s="63"/>
      <c r="M11" s="244" t="s">
        <v>80</v>
      </c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31"/>
    </row>
    <row r="12" spans="3:26" ht="19.5" thickBot="1" x14ac:dyDescent="0.35">
      <c r="C12" s="71"/>
      <c r="D12" s="71"/>
      <c r="E12" s="71"/>
      <c r="L12" s="6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31"/>
    </row>
    <row r="13" spans="3:26" ht="19.5" thickBot="1" x14ac:dyDescent="0.35">
      <c r="C13" s="1" t="s">
        <v>7</v>
      </c>
      <c r="D13" s="161" t="s">
        <v>47</v>
      </c>
      <c r="E13" s="161"/>
      <c r="L13" s="63"/>
      <c r="M13" s="82"/>
      <c r="N13" s="82"/>
      <c r="O13" s="82"/>
      <c r="P13" s="82"/>
      <c r="Q13" s="82"/>
      <c r="R13" s="82"/>
      <c r="S13" s="250" t="s">
        <v>14</v>
      </c>
      <c r="T13" s="251"/>
      <c r="U13" s="82"/>
      <c r="V13" s="82"/>
      <c r="W13" s="82"/>
      <c r="X13" s="82"/>
      <c r="Y13" s="82"/>
      <c r="Z13" s="31"/>
    </row>
    <row r="14" spans="3:26" ht="18.75" x14ac:dyDescent="0.3">
      <c r="C14" s="1" t="s">
        <v>6</v>
      </c>
      <c r="D14" s="161" t="s">
        <v>46</v>
      </c>
      <c r="E14" s="161"/>
      <c r="L14" s="63"/>
      <c r="M14" s="82"/>
      <c r="N14" s="82"/>
      <c r="O14" s="82"/>
      <c r="P14" s="82"/>
      <c r="Q14" s="84" t="str">
        <f>D27</f>
        <v>CALIZA</v>
      </c>
      <c r="R14" s="85" t="str">
        <f>C62</f>
        <v>X</v>
      </c>
      <c r="S14" s="245">
        <f>D62*100</f>
        <v>105.73236370960855</v>
      </c>
      <c r="T14" s="246"/>
      <c r="U14" s="82"/>
      <c r="V14" s="82"/>
      <c r="W14" s="82"/>
      <c r="X14" s="82"/>
      <c r="Y14" s="82"/>
      <c r="Z14" s="31"/>
    </row>
    <row r="15" spans="3:26" ht="19.5" thickBot="1" x14ac:dyDescent="0.35">
      <c r="C15" s="1" t="s">
        <v>5</v>
      </c>
      <c r="D15" s="161" t="s">
        <v>44</v>
      </c>
      <c r="E15" s="161"/>
      <c r="G15" t="s">
        <v>45</v>
      </c>
      <c r="L15" s="63"/>
      <c r="M15" s="82"/>
      <c r="N15" s="82"/>
      <c r="O15" s="82"/>
      <c r="P15" s="82"/>
      <c r="Q15" s="86" t="str">
        <f>E27</f>
        <v>ARCILLA</v>
      </c>
      <c r="R15" s="87" t="str">
        <f>C63</f>
        <v>Y</v>
      </c>
      <c r="S15" s="247">
        <f>D63*100</f>
        <v>-5.7323637096085225</v>
      </c>
      <c r="T15" s="248"/>
      <c r="U15" s="82"/>
      <c r="V15" s="82"/>
      <c r="W15" s="82"/>
      <c r="X15" s="82"/>
      <c r="Y15" s="82"/>
      <c r="Z15" s="31"/>
    </row>
    <row r="16" spans="3:26" ht="18.75" x14ac:dyDescent="0.3">
      <c r="C16" s="1" t="s">
        <v>4</v>
      </c>
      <c r="D16" s="161" t="s">
        <v>44</v>
      </c>
      <c r="E16" s="161"/>
      <c r="L16" s="63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31"/>
    </row>
    <row r="17" spans="1:26" ht="18.75" x14ac:dyDescent="0.3">
      <c r="C17" s="1" t="s">
        <v>3</v>
      </c>
      <c r="D17" s="161" t="s">
        <v>44</v>
      </c>
      <c r="E17" s="161"/>
      <c r="L17" s="63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31"/>
    </row>
    <row r="18" spans="1:26" ht="23.25" x14ac:dyDescent="0.25">
      <c r="C18" s="1" t="s">
        <v>2</v>
      </c>
      <c r="D18" s="161" t="s">
        <v>43</v>
      </c>
      <c r="E18" s="161"/>
      <c r="L18" s="29"/>
      <c r="M18" s="249" t="s">
        <v>79</v>
      </c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31"/>
    </row>
    <row r="19" spans="1:26" ht="19.5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9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31"/>
    </row>
    <row r="20" spans="1:26" ht="18.75" x14ac:dyDescent="0.25">
      <c r="A20" s="1"/>
      <c r="B20" s="1"/>
      <c r="C20" s="161" t="s">
        <v>42</v>
      </c>
      <c r="D20" s="161"/>
      <c r="E20" s="161"/>
      <c r="F20" s="161"/>
      <c r="G20" s="161"/>
      <c r="H20" s="161"/>
      <c r="I20" s="5"/>
      <c r="J20" s="5"/>
      <c r="K20" s="5"/>
      <c r="L20" s="29"/>
      <c r="N20" s="157" t="str">
        <f>G28</f>
        <v>SiO2</v>
      </c>
      <c r="O20" s="157" t="str">
        <f>G29</f>
        <v>Al2O3</v>
      </c>
      <c r="P20" s="157" t="str">
        <f>G30</f>
        <v>Fe2O3</v>
      </c>
      <c r="Q20" s="157" t="str">
        <f>G31</f>
        <v>CaO</v>
      </c>
      <c r="R20" s="157" t="str">
        <f>G32</f>
        <v>MgO</v>
      </c>
      <c r="S20" s="157" t="str">
        <f>G33</f>
        <v>SO3</v>
      </c>
      <c r="T20" s="157" t="str">
        <f>G34</f>
        <v>P.C.</v>
      </c>
      <c r="U20" s="157" t="str">
        <f>G35</f>
        <v>Resto</v>
      </c>
      <c r="V20" s="157" t="str">
        <f>G36</f>
        <v>TiO2</v>
      </c>
      <c r="W20" s="157" t="str">
        <f>G37</f>
        <v>Mn2O3</v>
      </c>
      <c r="X20" s="157" t="str">
        <f>G38</f>
        <v>Na2O</v>
      </c>
      <c r="Y20" s="158" t="str">
        <f>G39</f>
        <v>K2O</v>
      </c>
      <c r="Z20" s="35" t="s">
        <v>66</v>
      </c>
    </row>
    <row r="21" spans="1:26" ht="18.75" x14ac:dyDescent="0.3">
      <c r="A21" s="1"/>
      <c r="B21" s="1"/>
      <c r="C21" s="1"/>
      <c r="D21" s="1"/>
      <c r="E21" s="1"/>
      <c r="F21" s="1"/>
      <c r="G21" s="1"/>
      <c r="H21" s="1"/>
      <c r="I21" s="5"/>
      <c r="J21" s="5"/>
      <c r="K21" s="5"/>
      <c r="L21" s="29"/>
      <c r="M21" s="155" t="s">
        <v>16</v>
      </c>
      <c r="N21" s="88">
        <f>H69</f>
        <v>7.3064623821941694</v>
      </c>
      <c r="O21" s="88">
        <f>H70</f>
        <v>2.065674760003418</v>
      </c>
      <c r="P21" s="88">
        <f>H71</f>
        <v>1.1187940337927413</v>
      </c>
      <c r="Q21" s="88">
        <f>H72</f>
        <v>48.807749540149189</v>
      </c>
      <c r="R21" s="88">
        <f>H73</f>
        <v>1.5481518551607119</v>
      </c>
      <c r="S21" s="88">
        <f>H74</f>
        <v>0.30573236370960855</v>
      </c>
      <c r="T21" s="88">
        <f>H75</f>
        <v>38.773422410393458</v>
      </c>
      <c r="U21" s="88">
        <f>H76</f>
        <v>7.4012654596733798E-2</v>
      </c>
      <c r="V21" s="88">
        <f>H77</f>
        <v>0</v>
      </c>
      <c r="W21" s="88">
        <f>H78</f>
        <v>0</v>
      </c>
      <c r="X21" s="88">
        <f>H79</f>
        <v>0</v>
      </c>
      <c r="Y21" s="148">
        <f>H80</f>
        <v>0</v>
      </c>
      <c r="Z21" s="150">
        <f>SUM(N21:Y21)</f>
        <v>100.00000000000001</v>
      </c>
    </row>
    <row r="22" spans="1:26" ht="19.5" thickBot="1" x14ac:dyDescent="0.35">
      <c r="A22" s="1"/>
      <c r="B22" s="1"/>
      <c r="E22" s="1" t="s">
        <v>41</v>
      </c>
      <c r="G22" s="1" t="s">
        <v>40</v>
      </c>
      <c r="H22" s="1"/>
      <c r="I22" s="1"/>
      <c r="J22" s="1"/>
      <c r="K22" s="1"/>
      <c r="L22" s="29"/>
      <c r="M22" s="156" t="s">
        <v>15</v>
      </c>
      <c r="N22" s="89">
        <f>I69</f>
        <v>11.933481618339666</v>
      </c>
      <c r="O22" s="89">
        <f>I70</f>
        <v>3.373820391937234</v>
      </c>
      <c r="P22" s="89">
        <f>I71</f>
        <v>1.8273012764029801</v>
      </c>
      <c r="Q22" s="89">
        <f>I72</f>
        <v>79.716605862409821</v>
      </c>
      <c r="R22" s="89">
        <f>I73</f>
        <v>2.5285618045446929</v>
      </c>
      <c r="S22" s="89">
        <f>I74</f>
        <v>0.49934583271809047</v>
      </c>
      <c r="T22" s="89">
        <f>I75</f>
        <v>0</v>
      </c>
      <c r="U22" s="89">
        <f>I76</f>
        <v>0.12088321364756104</v>
      </c>
      <c r="V22" s="89">
        <f>I77</f>
        <v>0</v>
      </c>
      <c r="W22" s="89">
        <f>I78</f>
        <v>0</v>
      </c>
      <c r="X22" s="89">
        <f>I79</f>
        <v>0</v>
      </c>
      <c r="Y22" s="149">
        <f>I80</f>
        <v>0</v>
      </c>
      <c r="Z22" s="150">
        <f>SUM(N22:Y22)</f>
        <v>100.00000000000004</v>
      </c>
    </row>
    <row r="23" spans="1:26" ht="18.75" x14ac:dyDescent="0.3">
      <c r="A23" s="1"/>
      <c r="B23" s="1"/>
      <c r="E23" s="80" t="s">
        <v>7</v>
      </c>
      <c r="F23" s="15" t="s">
        <v>39</v>
      </c>
      <c r="G23" s="14">
        <v>2.2000000000000002</v>
      </c>
      <c r="I23" s="1"/>
      <c r="J23" s="1"/>
      <c r="L23" s="29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31"/>
    </row>
    <row r="24" spans="1:26" ht="19.5" thickBot="1" x14ac:dyDescent="0.35">
      <c r="A24" s="1"/>
      <c r="B24" s="1"/>
      <c r="E24" s="1"/>
      <c r="F24" s="1"/>
      <c r="I24" s="1"/>
      <c r="J24" s="1"/>
      <c r="L24" s="29"/>
      <c r="M24" s="234" t="s">
        <v>13</v>
      </c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31"/>
    </row>
    <row r="25" spans="1:26" ht="15" hidden="1" customHeight="1" x14ac:dyDescent="0.3">
      <c r="C25" s="1" t="s">
        <v>38</v>
      </c>
      <c r="D25" s="13">
        <f>IF(D28+E28&lt;&gt;0,1,0)+IF(D29+E29&lt;&gt;0,1,0)+IF(D30+E30&lt;&gt;0,1,0)+IF(D31+E31&lt;&gt;0,1,0)+IF(D32+E32&lt;&gt;0,1,0)+IF(D33+E33&lt;&gt;0,1,0)+IF(D34+E34&lt;&gt;0,1,0)+IF(D35+E35&lt;&gt;0,1,0)+IF(D36+E36&lt;&gt;0,1,0)+IF(D37+E37&lt;&gt;0,1,0)+IF(D38+E38&lt;&gt;0,1,0)+IF(D39+E39&lt;&gt;0,1,0)</f>
        <v>8</v>
      </c>
      <c r="E25" s="1"/>
      <c r="F25" s="1"/>
      <c r="G25" s="1"/>
      <c r="H25" s="1"/>
      <c r="I25" s="1"/>
      <c r="J25" s="1"/>
      <c r="K25" s="1"/>
      <c r="L25" s="29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31"/>
    </row>
    <row r="26" spans="1:26" ht="18.75" x14ac:dyDescent="0.3">
      <c r="C26" s="1"/>
      <c r="D26" s="1" t="s">
        <v>37</v>
      </c>
      <c r="E26" s="1" t="s">
        <v>36</v>
      </c>
      <c r="G26" s="1"/>
      <c r="H26" s="1" t="str">
        <f>D26</f>
        <v>M.P. 1</v>
      </c>
      <c r="I26" s="1" t="str">
        <f>E26</f>
        <v>M.P.2</v>
      </c>
      <c r="L26" s="29"/>
      <c r="M26" s="82"/>
      <c r="N26" s="82"/>
      <c r="O26" s="82"/>
      <c r="P26" s="82"/>
      <c r="Q26" s="236" t="s">
        <v>73</v>
      </c>
      <c r="R26" s="238"/>
      <c r="S26" s="90" t="str">
        <f>C86</f>
        <v>MH</v>
      </c>
      <c r="T26" s="91">
        <f>I86</f>
        <v>4.6523753441306699</v>
      </c>
      <c r="U26" s="82"/>
      <c r="V26" s="82"/>
      <c r="W26" s="82"/>
      <c r="X26" s="82"/>
      <c r="Y26" s="82"/>
      <c r="Z26" s="31"/>
    </row>
    <row r="27" spans="1:26" ht="18.75" x14ac:dyDescent="0.3">
      <c r="C27" s="1"/>
      <c r="D27" s="1" t="s">
        <v>35</v>
      </c>
      <c r="E27" s="1" t="s">
        <v>34</v>
      </c>
      <c r="G27" s="1"/>
      <c r="H27" s="1" t="str">
        <f>D27</f>
        <v>CALIZA</v>
      </c>
      <c r="I27" s="1" t="str">
        <f>E27</f>
        <v>ARCILLA</v>
      </c>
      <c r="L27" s="29"/>
      <c r="M27" s="82"/>
      <c r="N27" s="82"/>
      <c r="O27" s="82"/>
      <c r="P27" s="82"/>
      <c r="Q27" s="239" t="s">
        <v>72</v>
      </c>
      <c r="R27" s="240"/>
      <c r="S27" s="92" t="str">
        <f>C87</f>
        <v>SM</v>
      </c>
      <c r="T27" s="93">
        <f>I87</f>
        <v>2.2944053954707595</v>
      </c>
      <c r="U27" s="82"/>
      <c r="V27" s="82"/>
      <c r="W27" s="82"/>
      <c r="X27" s="82"/>
      <c r="Y27" s="82"/>
      <c r="Z27" s="31"/>
    </row>
    <row r="28" spans="1:26" ht="19.5" thickBot="1" x14ac:dyDescent="0.35">
      <c r="C28" s="1" t="s">
        <v>33</v>
      </c>
      <c r="D28" s="14">
        <v>8.6999999999999993</v>
      </c>
      <c r="E28" s="14">
        <v>33.01</v>
      </c>
      <c r="G28" s="1" t="str">
        <f t="shared" ref="G28:G39" si="0">C28</f>
        <v>SiO2</v>
      </c>
      <c r="H28" s="9">
        <f t="shared" ref="H28:H39" si="1">IF(D28=0,0,IF($D$41&lt;100,(IF(G28="Resto",D28+100-$D$41,D28)),IF($D$41&gt;100,D28-((D28*($D$41-100))/($D$41)),D28)))</f>
        <v>8.6999999999999993</v>
      </c>
      <c r="I28" s="9">
        <f t="shared" ref="I28:I39" si="2">IF(E28=0,0,IF($E$41&lt;100,(IF(G28="Resto",E28+100-$E$41,E28)),IF($E$41&gt;100,E28-((E28*($E$41-100))/($E$41)),E28)))</f>
        <v>33.01</v>
      </c>
      <c r="L28" s="29"/>
      <c r="M28" s="82"/>
      <c r="N28" s="82"/>
      <c r="O28" s="82"/>
      <c r="P28" s="82"/>
      <c r="Q28" s="231" t="s">
        <v>74</v>
      </c>
      <c r="R28" s="233"/>
      <c r="S28" s="94" t="str">
        <f>C88</f>
        <v>TM</v>
      </c>
      <c r="T28" s="95">
        <f>I88</f>
        <v>1.8463405216782629</v>
      </c>
      <c r="U28" s="82"/>
      <c r="V28" s="82"/>
      <c r="W28" s="82"/>
      <c r="X28" s="82"/>
      <c r="Y28" s="82"/>
      <c r="Z28" s="31"/>
    </row>
    <row r="29" spans="1:26" ht="18.75" x14ac:dyDescent="0.3">
      <c r="C29" s="1" t="s">
        <v>32</v>
      </c>
      <c r="D29" s="14">
        <v>2.35</v>
      </c>
      <c r="E29" s="14">
        <v>7.31</v>
      </c>
      <c r="G29" s="1" t="str">
        <f t="shared" si="0"/>
        <v>Al2O3</v>
      </c>
      <c r="H29" s="9">
        <f t="shared" si="1"/>
        <v>2.35</v>
      </c>
      <c r="I29" s="9">
        <f t="shared" si="2"/>
        <v>7.31</v>
      </c>
      <c r="L29" s="29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31"/>
    </row>
    <row r="30" spans="1:26" ht="18.75" x14ac:dyDescent="0.3">
      <c r="C30" s="1" t="s">
        <v>31</v>
      </c>
      <c r="D30" s="14">
        <v>1.32</v>
      </c>
      <c r="E30" s="14">
        <v>4.83</v>
      </c>
      <c r="G30" s="1" t="str">
        <f t="shared" si="0"/>
        <v>Fe2O3</v>
      </c>
      <c r="H30" s="9">
        <f t="shared" si="1"/>
        <v>1.32</v>
      </c>
      <c r="I30" s="9">
        <f t="shared" si="2"/>
        <v>4.83</v>
      </c>
      <c r="L30" s="29"/>
      <c r="M30" s="235" t="s">
        <v>75</v>
      </c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31"/>
    </row>
    <row r="31" spans="1:26" ht="19.5" thickBot="1" x14ac:dyDescent="0.35">
      <c r="A31" s="1"/>
      <c r="B31" s="1"/>
      <c r="C31" s="1" t="s">
        <v>30</v>
      </c>
      <c r="D31" s="14">
        <v>47.8</v>
      </c>
      <c r="E31" s="14">
        <v>30.22</v>
      </c>
      <c r="G31" s="1" t="str">
        <f t="shared" si="0"/>
        <v>CaO</v>
      </c>
      <c r="H31" s="9">
        <f t="shared" si="1"/>
        <v>47.8</v>
      </c>
      <c r="I31" s="9">
        <f t="shared" si="2"/>
        <v>30.22</v>
      </c>
      <c r="L31" s="29"/>
      <c r="M31" s="82"/>
      <c r="N31" s="82"/>
      <c r="O31" s="73"/>
      <c r="P31" s="73"/>
      <c r="Q31" s="73"/>
      <c r="R31" s="73"/>
      <c r="S31" s="73"/>
      <c r="T31" s="73"/>
      <c r="U31" s="82"/>
      <c r="V31" s="96"/>
      <c r="W31" s="81"/>
      <c r="X31" s="81"/>
      <c r="Y31" s="81"/>
      <c r="Z31" s="31"/>
    </row>
    <row r="32" spans="1:26" ht="18.75" x14ac:dyDescent="0.3">
      <c r="A32" s="1"/>
      <c r="B32" s="1"/>
      <c r="C32" s="1" t="s">
        <v>29</v>
      </c>
      <c r="D32" s="14">
        <v>1.5</v>
      </c>
      <c r="E32" s="14">
        <v>0.66</v>
      </c>
      <c r="G32" s="1" t="str">
        <f t="shared" si="0"/>
        <v>MgO</v>
      </c>
      <c r="H32" s="9">
        <f t="shared" si="1"/>
        <v>1.5</v>
      </c>
      <c r="I32" s="9">
        <f t="shared" si="2"/>
        <v>0.66</v>
      </c>
      <c r="L32" s="29"/>
      <c r="M32" s="82"/>
      <c r="N32" s="82"/>
      <c r="O32" s="82"/>
      <c r="P32" s="236" t="s">
        <v>76</v>
      </c>
      <c r="Q32" s="237"/>
      <c r="R32" s="237"/>
      <c r="S32" s="238"/>
      <c r="T32" s="85" t="str">
        <f>C97</f>
        <v>KSK</v>
      </c>
      <c r="U32" s="91">
        <f>I97</f>
        <v>2.2000000000000002</v>
      </c>
      <c r="V32" s="81"/>
      <c r="W32" s="81"/>
      <c r="X32" s="81"/>
      <c r="Y32" s="81"/>
      <c r="Z32" s="31"/>
    </row>
    <row r="33" spans="1:26" ht="18.75" x14ac:dyDescent="0.3">
      <c r="A33" s="1"/>
      <c r="B33" s="1"/>
      <c r="C33" s="1" t="s">
        <v>28</v>
      </c>
      <c r="D33" s="14">
        <v>0.3</v>
      </c>
      <c r="E33" s="14">
        <v>0.2</v>
      </c>
      <c r="G33" s="1" t="str">
        <f t="shared" si="0"/>
        <v>SO3</v>
      </c>
      <c r="H33" s="9">
        <f t="shared" si="1"/>
        <v>0.3</v>
      </c>
      <c r="I33" s="9">
        <f t="shared" si="2"/>
        <v>0.2</v>
      </c>
      <c r="L33" s="29"/>
      <c r="M33" s="82"/>
      <c r="N33" s="82"/>
      <c r="O33" s="82"/>
      <c r="P33" s="239" t="s">
        <v>77</v>
      </c>
      <c r="Q33" s="241"/>
      <c r="R33" s="241"/>
      <c r="S33" s="240"/>
      <c r="T33" s="97" t="str">
        <f>C98</f>
        <v>KSt II</v>
      </c>
      <c r="U33" s="93">
        <f>I98</f>
        <v>2.1152805173689244</v>
      </c>
      <c r="V33" s="242" t="str">
        <f>IF(95&lt;U34*100,"PORTLAND  DE ALTA CALIDAD",IF(90&lt;U34*100,"PORTLAND NORMAL", ANALIZAR))</f>
        <v>PORTLAND  DE ALTA CALIDAD</v>
      </c>
      <c r="W33" s="242"/>
      <c r="X33" s="242"/>
      <c r="Y33" s="242"/>
      <c r="Z33" s="31"/>
    </row>
    <row r="34" spans="1:26" ht="19.5" thickBot="1" x14ac:dyDescent="0.35">
      <c r="A34" s="1"/>
      <c r="B34" s="1"/>
      <c r="C34" s="1" t="s">
        <v>27</v>
      </c>
      <c r="D34" s="14">
        <v>37.96</v>
      </c>
      <c r="E34" s="14">
        <v>23.77</v>
      </c>
      <c r="G34" s="1" t="str">
        <f t="shared" si="0"/>
        <v>P.C.</v>
      </c>
      <c r="H34" s="9">
        <f t="shared" si="1"/>
        <v>37.96</v>
      </c>
      <c r="I34" s="9">
        <f t="shared" si="2"/>
        <v>23.77</v>
      </c>
      <c r="L34" s="29"/>
      <c r="M34" s="82"/>
      <c r="N34" s="82"/>
      <c r="O34" s="82"/>
      <c r="P34" s="231" t="s">
        <v>78</v>
      </c>
      <c r="Q34" s="232"/>
      <c r="R34" s="232"/>
      <c r="S34" s="233"/>
      <c r="T34" s="87" t="str">
        <f>C99</f>
        <v>LSF</v>
      </c>
      <c r="U34" s="95">
        <f>I99</f>
        <v>2.0534774101199491</v>
      </c>
      <c r="V34" s="242"/>
      <c r="W34" s="242"/>
      <c r="X34" s="242"/>
      <c r="Y34" s="242"/>
      <c r="Z34" s="31"/>
    </row>
    <row r="35" spans="1:26" ht="18.75" x14ac:dyDescent="0.3">
      <c r="A35" s="1"/>
      <c r="B35" s="1"/>
      <c r="C35" s="1" t="s">
        <v>26</v>
      </c>
      <c r="D35" s="14">
        <v>0.01</v>
      </c>
      <c r="E35" s="14">
        <v>0</v>
      </c>
      <c r="G35" s="1" t="str">
        <f t="shared" si="0"/>
        <v>Resto</v>
      </c>
      <c r="H35" s="9">
        <f t="shared" si="1"/>
        <v>7.000000000000739E-2</v>
      </c>
      <c r="I35" s="9">
        <f t="shared" si="2"/>
        <v>0</v>
      </c>
      <c r="L35" s="29"/>
      <c r="M35" s="82"/>
      <c r="N35" s="82"/>
      <c r="O35" s="73"/>
      <c r="P35" s="73"/>
      <c r="Q35" s="73"/>
      <c r="R35" s="73"/>
      <c r="S35" s="73"/>
      <c r="T35" s="73"/>
      <c r="U35" s="82"/>
      <c r="V35" s="242"/>
      <c r="W35" s="242"/>
      <c r="X35" s="242"/>
      <c r="Y35" s="242"/>
      <c r="Z35" s="31"/>
    </row>
    <row r="36" spans="1:26" ht="18.75" x14ac:dyDescent="0.3">
      <c r="A36" s="1"/>
      <c r="B36" s="1"/>
      <c r="C36" s="1" t="s">
        <v>25</v>
      </c>
      <c r="D36" s="14">
        <v>0</v>
      </c>
      <c r="E36" s="14">
        <v>0</v>
      </c>
      <c r="G36" s="1" t="str">
        <f t="shared" si="0"/>
        <v>TiO2</v>
      </c>
      <c r="H36" s="9">
        <f t="shared" si="1"/>
        <v>0</v>
      </c>
      <c r="I36" s="9">
        <f t="shared" si="2"/>
        <v>0</v>
      </c>
      <c r="L36" s="29"/>
      <c r="M36" s="82"/>
      <c r="N36" s="82"/>
      <c r="O36" s="73"/>
      <c r="P36" s="73"/>
      <c r="Q36" s="73"/>
      <c r="R36" s="73"/>
      <c r="S36" s="73"/>
      <c r="T36" s="73"/>
      <c r="U36" s="82"/>
      <c r="V36" s="81"/>
      <c r="W36" s="81"/>
      <c r="X36" s="81"/>
      <c r="Y36" s="81"/>
      <c r="Z36" s="31"/>
    </row>
    <row r="37" spans="1:26" ht="19.5" thickBot="1" x14ac:dyDescent="0.35">
      <c r="A37" s="1"/>
      <c r="B37" s="1"/>
      <c r="C37" s="1" t="s">
        <v>24</v>
      </c>
      <c r="D37" s="14">
        <v>0</v>
      </c>
      <c r="E37" s="14">
        <v>0</v>
      </c>
      <c r="G37" s="1" t="str">
        <f t="shared" si="0"/>
        <v>Mn2O3</v>
      </c>
      <c r="H37" s="9">
        <f t="shared" si="1"/>
        <v>0</v>
      </c>
      <c r="I37" s="9">
        <f t="shared" si="2"/>
        <v>0</v>
      </c>
      <c r="L37" s="32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34"/>
    </row>
    <row r="38" spans="1:26" x14ac:dyDescent="0.25">
      <c r="A38" s="1"/>
      <c r="B38" s="1"/>
      <c r="C38" s="1" t="s">
        <v>23</v>
      </c>
      <c r="D38" s="14">
        <v>0</v>
      </c>
      <c r="E38" s="14">
        <v>0</v>
      </c>
      <c r="G38" s="1" t="str">
        <f t="shared" si="0"/>
        <v>Na2O</v>
      </c>
      <c r="H38" s="9">
        <f t="shared" si="1"/>
        <v>0</v>
      </c>
      <c r="I38" s="9">
        <f t="shared" si="2"/>
        <v>0</v>
      </c>
      <c r="N38" s="1"/>
      <c r="O38" s="1"/>
    </row>
    <row r="39" spans="1:26" x14ac:dyDescent="0.25">
      <c r="A39" s="1"/>
      <c r="B39" s="1"/>
      <c r="C39" s="1" t="s">
        <v>22</v>
      </c>
      <c r="D39" s="14">
        <v>0</v>
      </c>
      <c r="E39" s="14">
        <v>0</v>
      </c>
      <c r="G39" s="1" t="str">
        <f t="shared" si="0"/>
        <v>K2O</v>
      </c>
      <c r="H39" s="9">
        <f t="shared" si="1"/>
        <v>0</v>
      </c>
      <c r="I39" s="9">
        <f t="shared" si="2"/>
        <v>0</v>
      </c>
      <c r="N39" s="1"/>
      <c r="O39" s="1"/>
    </row>
    <row r="40" spans="1:26" x14ac:dyDescent="0.25">
      <c r="A40" s="1"/>
      <c r="B40" s="1"/>
      <c r="C40" s="1"/>
      <c r="D40" s="1"/>
      <c r="E40" s="1"/>
      <c r="G40" s="1"/>
      <c r="H40" s="1"/>
      <c r="I40" s="1"/>
      <c r="N40" s="1"/>
      <c r="O40" s="1"/>
    </row>
    <row r="41" spans="1:26" x14ac:dyDescent="0.25">
      <c r="A41" s="1"/>
      <c r="B41" s="1"/>
      <c r="C41" s="1" t="s">
        <v>21</v>
      </c>
      <c r="D41" s="13">
        <f>SUM(D28:D39)</f>
        <v>99.94</v>
      </c>
      <c r="E41" s="13">
        <f>SUM(E28:E39)</f>
        <v>100</v>
      </c>
      <c r="G41" s="1" t="str">
        <f>C41</f>
        <v>total</v>
      </c>
      <c r="H41" s="13">
        <f>SUM(H28:H39)</f>
        <v>100</v>
      </c>
      <c r="I41" s="13">
        <f>SUM(I28:I39)</f>
        <v>100</v>
      </c>
      <c r="N41" s="1"/>
      <c r="O41" s="1"/>
    </row>
    <row r="42" spans="1:26" ht="15" customHeight="1" x14ac:dyDescent="0.25">
      <c r="A42" s="12"/>
      <c r="B42" s="1"/>
      <c r="C42" s="1"/>
      <c r="D42" s="153" t="str">
        <f>IF(D41=100,"OK","CORREGIR")</f>
        <v>CORREGIR</v>
      </c>
      <c r="E42" s="153" t="str">
        <f>IF(E41=100,"OK","CORREGIR")</f>
        <v>OK</v>
      </c>
      <c r="F42" s="1"/>
      <c r="G42" s="1"/>
      <c r="H42" s="1"/>
      <c r="I42" s="1"/>
      <c r="N42" s="1"/>
      <c r="O42" s="1"/>
    </row>
    <row r="43" spans="1:26" ht="15" hidden="1" customHeight="1" x14ac:dyDescent="0.25">
      <c r="A43" s="12"/>
      <c r="C43" s="1" t="s">
        <v>12</v>
      </c>
      <c r="D43" s="10">
        <f>($G$23*(H28+H29+H30)-H31)</f>
        <v>-20.585999999999995</v>
      </c>
      <c r="E43" s="10">
        <f>($G$23*(I28+I29+I30)-I31)</f>
        <v>69.11</v>
      </c>
      <c r="F43" s="1"/>
      <c r="H43" s="1"/>
      <c r="I43" s="10"/>
      <c r="J43" s="10"/>
      <c r="K43" s="10"/>
      <c r="L43" s="1"/>
      <c r="N43" s="1"/>
    </row>
    <row r="44" spans="1:26" ht="15" hidden="1" customHeight="1" x14ac:dyDescent="0.25">
      <c r="A44" s="12"/>
      <c r="C44" s="1" t="s">
        <v>11</v>
      </c>
      <c r="D44" s="10">
        <f>($G$23*(H29+H30)-H28)</f>
        <v>-0.62599999999999945</v>
      </c>
      <c r="E44" s="10">
        <f>($G$23*(I29+I30)-I28)</f>
        <v>-6.301999999999996</v>
      </c>
      <c r="F44" s="1"/>
      <c r="H44" s="1"/>
      <c r="I44" s="10"/>
      <c r="J44" s="10"/>
      <c r="K44" s="10"/>
      <c r="L44" s="1"/>
      <c r="N44" s="1"/>
    </row>
    <row r="45" spans="1:26" ht="15.75" hidden="1" customHeight="1" x14ac:dyDescent="0.25">
      <c r="A45" s="12"/>
      <c r="C45" s="1" t="s">
        <v>9</v>
      </c>
      <c r="D45" s="10">
        <f>$G$23*H29-H28</f>
        <v>-3.5299999999999985</v>
      </c>
      <c r="E45" s="10">
        <f>$G$23*I29-I28</f>
        <v>-16.927999999999997</v>
      </c>
      <c r="F45" s="1"/>
      <c r="H45" s="1"/>
      <c r="I45" s="10"/>
      <c r="J45" s="10"/>
      <c r="K45" s="10"/>
      <c r="L45" s="1"/>
      <c r="N45" s="1"/>
    </row>
    <row r="46" spans="1:26" ht="15" hidden="1" customHeight="1" x14ac:dyDescent="0.25">
      <c r="A46" s="12"/>
      <c r="C46" s="1" t="s">
        <v>10</v>
      </c>
      <c r="D46" s="10">
        <f>$G$23*H30-H29</f>
        <v>0.55400000000000027</v>
      </c>
      <c r="E46" s="10">
        <f>$G$23*I30-I29</f>
        <v>3.3160000000000016</v>
      </c>
      <c r="F46" s="10"/>
      <c r="H46" s="1"/>
      <c r="I46" s="10"/>
      <c r="J46" s="10"/>
      <c r="K46" s="10"/>
      <c r="L46" s="1"/>
      <c r="N46" s="1"/>
    </row>
    <row r="47" spans="1:26" ht="15" hidden="1" customHeight="1" x14ac:dyDescent="0.25">
      <c r="A47" s="12"/>
      <c r="C47" s="1" t="s">
        <v>7</v>
      </c>
      <c r="D47" s="10">
        <f>2.8*$G$23*H28+1.65*H29+0.35*H30-H31</f>
        <v>10.131500000000003</v>
      </c>
      <c r="E47" s="10">
        <f>2.8*$G$23*I28+1.65*I29+0.35*I30-I31</f>
        <v>186.87359999999998</v>
      </c>
      <c r="F47" s="10"/>
      <c r="H47" s="1"/>
      <c r="I47" s="10"/>
      <c r="J47" s="10"/>
      <c r="K47" s="10"/>
      <c r="L47" s="1"/>
      <c r="N47" s="1"/>
    </row>
    <row r="48" spans="1:26" ht="15.75" hidden="1" customHeight="1" x14ac:dyDescent="0.25">
      <c r="A48" s="12"/>
      <c r="C48" s="1" t="s">
        <v>6</v>
      </c>
      <c r="D48" s="10">
        <f>$G$23*(2.8*H28+1.65*H29+0.35*H30)-H31</f>
        <v>15.338900000000002</v>
      </c>
      <c r="E48" s="10">
        <f>$G$23*(2.8*I28+1.65*I29+0.35*I30)-I31</f>
        <v>203.37599999999998</v>
      </c>
      <c r="F48" s="10"/>
      <c r="H48" s="1"/>
      <c r="I48" s="10"/>
      <c r="J48" s="10"/>
      <c r="K48" s="10"/>
      <c r="L48" s="1"/>
      <c r="N48" s="1"/>
    </row>
    <row r="49" spans="1:15" hidden="1" x14ac:dyDescent="0.25">
      <c r="A49" s="12"/>
      <c r="C49" s="1" t="s">
        <v>5</v>
      </c>
      <c r="D49" s="10">
        <f>$G$23*(2.8*H28+1.1*H29+0.7*H30)-H31</f>
        <v>13.511800000000001</v>
      </c>
      <c r="E49" s="10">
        <f>$G$23*(2.8*I28+1.1*I29+0.7*I30)-I31</f>
        <v>198.24999999999997</v>
      </c>
      <c r="F49" s="10"/>
      <c r="H49" s="1"/>
      <c r="I49" s="10"/>
      <c r="J49" s="10"/>
      <c r="K49" s="10"/>
      <c r="L49" s="1"/>
      <c r="N49" s="1"/>
    </row>
    <row r="50" spans="1:15" hidden="1" x14ac:dyDescent="0.25">
      <c r="A50" s="12"/>
      <c r="C50" s="1" t="s">
        <v>4</v>
      </c>
      <c r="D50" s="10">
        <f>$G$23*(2.8*H28+1.18*H29+0.65*H30)-H31</f>
        <v>13.780200000000001</v>
      </c>
      <c r="E50" s="10">
        <f>$G$23*(2.8*I28+1.18*I29+0.65*I30)-I31</f>
        <v>199.00525999999996</v>
      </c>
      <c r="F50" s="10"/>
      <c r="H50" s="1"/>
      <c r="I50" s="10"/>
      <c r="J50" s="10"/>
      <c r="K50" s="10"/>
      <c r="L50" s="1"/>
      <c r="N50" s="1"/>
    </row>
    <row r="51" spans="1:15" hidden="1" x14ac:dyDescent="0.25">
      <c r="A51" s="12"/>
      <c r="C51" s="1" t="s">
        <v>3</v>
      </c>
      <c r="D51" s="10">
        <f>$G$23*(2.8*H28+1.1*H29+0.7*H30)-H31-0.75*H32</f>
        <v>12.386800000000001</v>
      </c>
      <c r="E51" s="10">
        <f>$G$23*(2.8*I28+1.1*I29+0.7*I30)-I31-0.75*I32</f>
        <v>197.75499999999997</v>
      </c>
      <c r="F51" s="10"/>
      <c r="H51" s="1"/>
      <c r="I51" s="10"/>
      <c r="J51" s="10"/>
      <c r="K51" s="10"/>
      <c r="L51" s="1"/>
      <c r="N51" s="1"/>
    </row>
    <row r="52" spans="1:15" hidden="1" x14ac:dyDescent="0.25">
      <c r="A52" s="12"/>
      <c r="C52" s="1" t="s">
        <v>2</v>
      </c>
      <c r="D52" s="10">
        <f>$G$23*(2.8*H28+1.2*H29+0.65*H30)-H31+0.7*H33</f>
        <v>14.093600000000002</v>
      </c>
      <c r="E52" s="10">
        <f>$G$23*(2.8*I28+1.2*I29+0.65*I30)-I31+0.7*I33</f>
        <v>199.46689999999998</v>
      </c>
      <c r="F52" s="10"/>
      <c r="H52" s="1"/>
      <c r="I52" s="10"/>
      <c r="J52" s="10"/>
      <c r="K52" s="10"/>
      <c r="L52" s="1"/>
      <c r="N52" s="1"/>
    </row>
    <row r="53" spans="1:15" hidden="1" x14ac:dyDescent="0.25">
      <c r="A53" s="12"/>
      <c r="B53" s="1"/>
      <c r="C53" s="1"/>
      <c r="D53" s="10"/>
      <c r="E53" s="10"/>
      <c r="F53" s="10"/>
      <c r="G53" s="1"/>
      <c r="H53" s="1"/>
      <c r="I53" s="10"/>
      <c r="J53" s="10"/>
      <c r="K53" s="10"/>
      <c r="L53" s="1"/>
      <c r="N53" s="1"/>
    </row>
    <row r="54" spans="1:15" hidden="1" x14ac:dyDescent="0.25">
      <c r="A54" s="12"/>
      <c r="B54" s="1"/>
      <c r="C54" s="1"/>
      <c r="D54" s="10" t="str">
        <f>D26</f>
        <v>M.P. 1</v>
      </c>
      <c r="E54" s="10" t="str">
        <f>E26</f>
        <v>M.P.2</v>
      </c>
      <c r="F54" s="10"/>
      <c r="G54" s="1"/>
      <c r="H54" s="1"/>
      <c r="I54" s="10"/>
      <c r="J54" s="10"/>
      <c r="K54" s="10"/>
      <c r="L54" s="1"/>
      <c r="N54" s="1"/>
    </row>
    <row r="55" spans="1:15" hidden="1" x14ac:dyDescent="0.25">
      <c r="A55" s="12"/>
      <c r="B55" s="1"/>
      <c r="C55" s="1"/>
      <c r="D55" s="10" t="str">
        <f>D27</f>
        <v>CALIZA</v>
      </c>
      <c r="E55" s="10" t="str">
        <f>E27</f>
        <v>ARCILLA</v>
      </c>
      <c r="F55" s="10"/>
      <c r="G55" s="1"/>
      <c r="H55" s="1"/>
      <c r="I55" s="10"/>
      <c r="J55" s="10"/>
      <c r="K55" s="10"/>
      <c r="L55" s="1"/>
      <c r="N55" s="1"/>
    </row>
    <row r="56" spans="1:15" hidden="1" x14ac:dyDescent="0.25">
      <c r="A56" s="12"/>
      <c r="B56" s="1"/>
      <c r="C56" s="1" t="str">
        <f>E23</f>
        <v>KSK</v>
      </c>
      <c r="D56" s="10">
        <f>VLOOKUP(C56,C43:E52,2,FALSE)</f>
        <v>10.131500000000003</v>
      </c>
      <c r="E56" s="10">
        <f>VLOOKUP(C56,C43:E52,3,FALSE)</f>
        <v>186.87359999999998</v>
      </c>
      <c r="F56" s="10" t="s">
        <v>20</v>
      </c>
      <c r="G56" s="10">
        <v>0</v>
      </c>
      <c r="H56" s="1"/>
      <c r="I56" s="10"/>
      <c r="J56" s="10"/>
      <c r="K56" s="10"/>
      <c r="L56" s="1"/>
      <c r="N56" s="1"/>
    </row>
    <row r="57" spans="1:15" hidden="1" x14ac:dyDescent="0.25">
      <c r="A57" s="12"/>
      <c r="B57" s="1"/>
      <c r="C57" s="1" t="s">
        <v>19</v>
      </c>
      <c r="D57" s="10">
        <v>1</v>
      </c>
      <c r="E57" s="10">
        <v>1</v>
      </c>
      <c r="F57" s="10" t="s">
        <v>18</v>
      </c>
      <c r="G57" s="10">
        <v>1</v>
      </c>
      <c r="H57" s="1"/>
      <c r="I57" s="10"/>
      <c r="J57" s="10"/>
      <c r="K57" s="10"/>
      <c r="L57" s="1"/>
      <c r="N57" s="1"/>
    </row>
    <row r="58" spans="1:15" x14ac:dyDescent="0.25">
      <c r="A58" s="12"/>
      <c r="B58" s="1"/>
      <c r="C58" s="1"/>
      <c r="D58" s="10"/>
      <c r="E58" s="10"/>
      <c r="F58" s="10"/>
      <c r="G58" s="10"/>
      <c r="H58" s="1"/>
      <c r="I58" s="1"/>
      <c r="J58" s="10"/>
      <c r="K58" s="10"/>
      <c r="L58" s="10"/>
      <c r="M58" s="1"/>
      <c r="O58" s="1"/>
    </row>
    <row r="59" spans="1:15" x14ac:dyDescent="0.25">
      <c r="A59" s="1"/>
      <c r="B59" s="1"/>
      <c r="C59" s="1"/>
      <c r="D59" s="10"/>
      <c r="E59" s="10"/>
      <c r="F59" s="10"/>
      <c r="G59" s="10"/>
      <c r="H59" s="1"/>
      <c r="I59" s="1"/>
      <c r="J59" s="10"/>
      <c r="K59" s="10"/>
      <c r="L59" s="10"/>
      <c r="M59" s="1"/>
      <c r="O59" s="1"/>
    </row>
    <row r="60" spans="1:15" ht="17.25" customHeight="1" x14ac:dyDescent="0.25">
      <c r="A60" s="1"/>
      <c r="B60" s="1"/>
      <c r="C60" s="1"/>
      <c r="D60" s="10"/>
      <c r="E60" s="10"/>
      <c r="F60" s="10"/>
      <c r="G60" s="10"/>
      <c r="H60" s="1"/>
      <c r="I60" s="1"/>
      <c r="J60" s="10"/>
      <c r="K60" s="10"/>
      <c r="L60" s="10"/>
      <c r="M60" s="1"/>
      <c r="O60" s="1"/>
    </row>
    <row r="61" spans="1:15" x14ac:dyDescent="0.25">
      <c r="A61" s="66"/>
      <c r="B61" s="1"/>
      <c r="C61" s="1"/>
      <c r="D61" s="10"/>
      <c r="E61" s="10"/>
      <c r="F61" s="10"/>
      <c r="G61" s="10"/>
      <c r="H61" s="1"/>
      <c r="I61" s="1"/>
      <c r="J61" s="10"/>
      <c r="K61" s="10"/>
      <c r="L61" s="10"/>
      <c r="M61" s="1"/>
      <c r="O61" s="1"/>
    </row>
    <row r="62" spans="1:15" hidden="1" x14ac:dyDescent="0.25">
      <c r="A62" s="66"/>
      <c r="B62" s="1"/>
      <c r="C62" s="11" t="str">
        <f>F56</f>
        <v>X</v>
      </c>
      <c r="D62" s="3">
        <f t="array" ref="D62:D63">MMULT(MINVERSE(D56:E57),G56:G57)</f>
        <v>1.0573236370960855</v>
      </c>
      <c r="E62" s="10"/>
      <c r="F62" s="230" t="s">
        <v>17</v>
      </c>
      <c r="G62" s="230"/>
      <c r="H62" s="230"/>
      <c r="I62" s="230"/>
      <c r="J62" s="230"/>
      <c r="K62" s="10"/>
      <c r="L62" s="10"/>
      <c r="M62" s="1"/>
      <c r="O62" s="1"/>
    </row>
    <row r="63" spans="1:15" hidden="1" x14ac:dyDescent="0.25">
      <c r="A63" s="66"/>
      <c r="B63" s="1"/>
      <c r="C63" s="11" t="str">
        <f>F57</f>
        <v>Y</v>
      </c>
      <c r="D63" s="3">
        <v>-5.7323637096085227E-2</v>
      </c>
      <c r="F63" s="230"/>
      <c r="G63" s="230"/>
      <c r="H63" s="230"/>
      <c r="I63" s="230"/>
      <c r="J63" s="230"/>
      <c r="K63" s="10"/>
      <c r="L63" s="10"/>
      <c r="M63" s="1"/>
      <c r="O63" s="1"/>
    </row>
    <row r="64" spans="1:15" hidden="1" x14ac:dyDescent="0.25">
      <c r="A64" s="66"/>
      <c r="B64" s="1"/>
      <c r="C64" s="1"/>
      <c r="J64" s="10"/>
      <c r="K64" s="10"/>
      <c r="L64" s="10"/>
      <c r="M64" s="1"/>
      <c r="O64" s="1"/>
    </row>
    <row r="65" spans="1:15" hidden="1" x14ac:dyDescent="0.25">
      <c r="A65" s="66"/>
      <c r="B65" s="1"/>
      <c r="C65" s="10"/>
      <c r="D65" s="10"/>
      <c r="E65" s="1"/>
      <c r="F65" s="1"/>
      <c r="G65" s="1"/>
      <c r="H65" s="1"/>
      <c r="I65" s="1"/>
      <c r="N65" s="1"/>
      <c r="O65" s="1"/>
    </row>
    <row r="66" spans="1:15" ht="17.25" hidden="1" customHeight="1" x14ac:dyDescent="0.25">
      <c r="A66" s="66"/>
      <c r="B66" s="1"/>
      <c r="C66" s="1"/>
      <c r="D66" s="1" t="str">
        <f>D26</f>
        <v>M.P. 1</v>
      </c>
      <c r="E66" s="1" t="str">
        <f>E26</f>
        <v>M.P.2</v>
      </c>
      <c r="F66" s="1"/>
      <c r="G66" s="1"/>
      <c r="H66" s="1"/>
      <c r="I66" s="1"/>
      <c r="J66" s="1"/>
      <c r="K66" s="1"/>
      <c r="L66" s="1"/>
      <c r="M66" s="1"/>
      <c r="N66" s="1"/>
    </row>
    <row r="67" spans="1:15" ht="11.25" hidden="1" customHeight="1" x14ac:dyDescent="0.25">
      <c r="A67" s="66"/>
      <c r="B67" s="1"/>
      <c r="C67" s="1"/>
      <c r="D67" s="1" t="str">
        <f>D27</f>
        <v>CALIZA</v>
      </c>
      <c r="E67" s="1" t="str">
        <f>E27</f>
        <v>ARCILLA</v>
      </c>
      <c r="F67" s="1" t="str">
        <f>D67</f>
        <v>CALIZA</v>
      </c>
      <c r="G67" s="1" t="str">
        <f>E67</f>
        <v>ARCILLA</v>
      </c>
      <c r="H67" s="1" t="s">
        <v>16</v>
      </c>
      <c r="I67" s="1" t="s">
        <v>15</v>
      </c>
      <c r="K67" s="1"/>
      <c r="L67" s="1"/>
      <c r="M67" s="1"/>
    </row>
    <row r="68" spans="1:15" hidden="1" x14ac:dyDescent="0.25">
      <c r="A68" s="66"/>
      <c r="B68" s="1"/>
      <c r="C68" s="1"/>
      <c r="D68" s="1"/>
      <c r="E68" s="1"/>
      <c r="F68" s="2">
        <f>D62</f>
        <v>1.0573236370960855</v>
      </c>
      <c r="G68" s="2">
        <f>D63</f>
        <v>-5.7323637096085227E-2</v>
      </c>
      <c r="H68" s="1"/>
      <c r="I68" s="1"/>
      <c r="K68" s="1"/>
      <c r="L68" s="1"/>
      <c r="M68" s="1"/>
    </row>
    <row r="69" spans="1:15" hidden="1" x14ac:dyDescent="0.25">
      <c r="A69" s="66"/>
      <c r="B69" s="1"/>
      <c r="C69" s="1" t="str">
        <f t="shared" ref="C69:C80" si="3">G28</f>
        <v>SiO2</v>
      </c>
      <c r="D69" s="9">
        <f t="shared" ref="D69:D80" si="4">H28</f>
        <v>8.6999999999999993</v>
      </c>
      <c r="E69" s="9">
        <f t="shared" ref="E69:E80" si="5">I28</f>
        <v>33.01</v>
      </c>
      <c r="F69" s="8">
        <f t="shared" ref="F69:F80" si="6">D69*$F$68</f>
        <v>9.1987156427359427</v>
      </c>
      <c r="G69" s="8">
        <f t="shared" ref="G69:G80" si="7">E69*$G$68</f>
        <v>-1.8922532605417732</v>
      </c>
      <c r="H69" s="4">
        <f t="shared" ref="H69:H80" si="8">G69+F69</f>
        <v>7.3064623821941694</v>
      </c>
      <c r="I69" s="3">
        <f t="shared" ref="I69:I80" si="9">IF(C69&lt;&gt;"P.C.",H69+((H69*$H$75)/(100-$H$75)),0)</f>
        <v>11.933481618339666</v>
      </c>
      <c r="K69" s="1"/>
      <c r="L69" s="1"/>
      <c r="M69" s="1"/>
    </row>
    <row r="70" spans="1:15" hidden="1" x14ac:dyDescent="0.25">
      <c r="A70" s="66"/>
      <c r="B70" s="1"/>
      <c r="C70" s="1" t="str">
        <f t="shared" si="3"/>
        <v>Al2O3</v>
      </c>
      <c r="D70" s="9">
        <f t="shared" si="4"/>
        <v>2.35</v>
      </c>
      <c r="E70" s="9">
        <f t="shared" si="5"/>
        <v>7.31</v>
      </c>
      <c r="F70" s="8">
        <f t="shared" si="6"/>
        <v>2.4847105471758009</v>
      </c>
      <c r="G70" s="8">
        <f t="shared" si="7"/>
        <v>-0.41903578717238299</v>
      </c>
      <c r="H70" s="4">
        <f t="shared" si="8"/>
        <v>2.065674760003418</v>
      </c>
      <c r="I70" s="3">
        <f t="shared" si="9"/>
        <v>3.373820391937234</v>
      </c>
      <c r="K70" s="1"/>
      <c r="L70" s="1"/>
      <c r="M70" s="1"/>
    </row>
    <row r="71" spans="1:15" hidden="1" x14ac:dyDescent="0.25">
      <c r="A71" s="66"/>
      <c r="B71" s="1"/>
      <c r="C71" s="1" t="str">
        <f t="shared" si="3"/>
        <v>Fe2O3</v>
      </c>
      <c r="D71" s="9">
        <f t="shared" si="4"/>
        <v>1.32</v>
      </c>
      <c r="E71" s="9">
        <f t="shared" si="5"/>
        <v>4.83</v>
      </c>
      <c r="F71" s="8">
        <f t="shared" si="6"/>
        <v>1.3956672009668329</v>
      </c>
      <c r="G71" s="8">
        <f t="shared" si="7"/>
        <v>-0.27687316717409166</v>
      </c>
      <c r="H71" s="4">
        <f t="shared" si="8"/>
        <v>1.1187940337927413</v>
      </c>
      <c r="I71" s="3">
        <f t="shared" si="9"/>
        <v>1.8273012764029801</v>
      </c>
      <c r="K71" s="1"/>
      <c r="L71" s="1"/>
      <c r="M71" s="1"/>
    </row>
    <row r="72" spans="1:15" hidden="1" x14ac:dyDescent="0.25">
      <c r="A72" s="66"/>
      <c r="B72" s="1"/>
      <c r="C72" s="1" t="str">
        <f t="shared" si="3"/>
        <v>CaO</v>
      </c>
      <c r="D72" s="9">
        <f t="shared" si="4"/>
        <v>47.8</v>
      </c>
      <c r="E72" s="9">
        <f t="shared" si="5"/>
        <v>30.22</v>
      </c>
      <c r="F72" s="8">
        <f t="shared" si="6"/>
        <v>50.540069853192882</v>
      </c>
      <c r="G72" s="8">
        <f t="shared" si="7"/>
        <v>-1.7323203130436955</v>
      </c>
      <c r="H72" s="4">
        <f t="shared" si="8"/>
        <v>48.807749540149189</v>
      </c>
      <c r="I72" s="3">
        <f t="shared" si="9"/>
        <v>79.716605862409821</v>
      </c>
      <c r="K72" s="1"/>
      <c r="L72" s="1"/>
      <c r="M72" s="1"/>
    </row>
    <row r="73" spans="1:15" hidden="1" x14ac:dyDescent="0.25">
      <c r="A73" s="66"/>
      <c r="B73" s="1"/>
      <c r="C73" s="1" t="str">
        <f t="shared" si="3"/>
        <v>MgO</v>
      </c>
      <c r="D73" s="9">
        <f t="shared" si="4"/>
        <v>1.5</v>
      </c>
      <c r="E73" s="9">
        <f t="shared" si="5"/>
        <v>0.66</v>
      </c>
      <c r="F73" s="8">
        <f t="shared" si="6"/>
        <v>1.5859854556441282</v>
      </c>
      <c r="G73" s="8">
        <f t="shared" si="7"/>
        <v>-3.7833600483416253E-2</v>
      </c>
      <c r="H73" s="4">
        <f t="shared" si="8"/>
        <v>1.5481518551607119</v>
      </c>
      <c r="I73" s="3">
        <f t="shared" si="9"/>
        <v>2.5285618045446929</v>
      </c>
      <c r="K73" s="1"/>
      <c r="L73" s="1"/>
      <c r="M73" s="1"/>
    </row>
    <row r="74" spans="1:15" hidden="1" x14ac:dyDescent="0.25">
      <c r="A74" s="66"/>
      <c r="B74" s="1"/>
      <c r="C74" s="1" t="str">
        <f t="shared" si="3"/>
        <v>SO3</v>
      </c>
      <c r="D74" s="9">
        <f t="shared" si="4"/>
        <v>0.3</v>
      </c>
      <c r="E74" s="9">
        <f t="shared" si="5"/>
        <v>0.2</v>
      </c>
      <c r="F74" s="8">
        <f t="shared" si="6"/>
        <v>0.3171970911288256</v>
      </c>
      <c r="G74" s="8">
        <f t="shared" si="7"/>
        <v>-1.1464727419217046E-2</v>
      </c>
      <c r="H74" s="4">
        <f t="shared" si="8"/>
        <v>0.30573236370960855</v>
      </c>
      <c r="I74" s="3">
        <f t="shared" si="9"/>
        <v>0.49934583271809047</v>
      </c>
      <c r="K74" s="1"/>
      <c r="L74" s="1"/>
      <c r="M74" s="1"/>
    </row>
    <row r="75" spans="1:15" hidden="1" x14ac:dyDescent="0.25">
      <c r="A75" s="66"/>
      <c r="B75" s="1"/>
      <c r="C75" s="1" t="str">
        <f t="shared" si="3"/>
        <v>P.C.</v>
      </c>
      <c r="D75" s="9">
        <f t="shared" si="4"/>
        <v>37.96</v>
      </c>
      <c r="E75" s="9">
        <f t="shared" si="5"/>
        <v>23.77</v>
      </c>
      <c r="F75" s="8">
        <f t="shared" si="6"/>
        <v>40.136005264167402</v>
      </c>
      <c r="G75" s="8">
        <f t="shared" si="7"/>
        <v>-1.3625828537739457</v>
      </c>
      <c r="H75" s="4">
        <f t="shared" si="8"/>
        <v>38.773422410393458</v>
      </c>
      <c r="I75" s="3">
        <f t="shared" si="9"/>
        <v>0</v>
      </c>
      <c r="K75" s="1"/>
      <c r="L75" s="1"/>
      <c r="M75" s="1"/>
    </row>
    <row r="76" spans="1:15" hidden="1" x14ac:dyDescent="0.25">
      <c r="A76" s="66"/>
      <c r="B76" s="1"/>
      <c r="C76" s="1" t="str">
        <f t="shared" si="3"/>
        <v>Resto</v>
      </c>
      <c r="D76" s="9">
        <f t="shared" si="4"/>
        <v>7.000000000000739E-2</v>
      </c>
      <c r="E76" s="9">
        <f t="shared" si="5"/>
        <v>0</v>
      </c>
      <c r="F76" s="8">
        <f t="shared" si="6"/>
        <v>7.4012654596733798E-2</v>
      </c>
      <c r="G76" s="8">
        <f t="shared" si="7"/>
        <v>0</v>
      </c>
      <c r="H76" s="4">
        <f t="shared" si="8"/>
        <v>7.4012654596733798E-2</v>
      </c>
      <c r="I76" s="3">
        <f t="shared" si="9"/>
        <v>0.12088321364756104</v>
      </c>
      <c r="K76" s="1"/>
      <c r="L76" s="1"/>
      <c r="M76" s="1"/>
    </row>
    <row r="77" spans="1:15" hidden="1" x14ac:dyDescent="0.25">
      <c r="A77" s="66"/>
      <c r="B77" s="1"/>
      <c r="C77" s="1" t="str">
        <f t="shared" si="3"/>
        <v>TiO2</v>
      </c>
      <c r="D77" s="9">
        <f t="shared" si="4"/>
        <v>0</v>
      </c>
      <c r="E77" s="9">
        <f t="shared" si="5"/>
        <v>0</v>
      </c>
      <c r="F77" s="8">
        <f t="shared" si="6"/>
        <v>0</v>
      </c>
      <c r="G77" s="8">
        <f t="shared" si="7"/>
        <v>0</v>
      </c>
      <c r="H77" s="4">
        <f t="shared" si="8"/>
        <v>0</v>
      </c>
      <c r="I77" s="3">
        <f t="shared" si="9"/>
        <v>0</v>
      </c>
      <c r="K77" s="1"/>
      <c r="L77" s="1"/>
      <c r="M77" s="1"/>
    </row>
    <row r="78" spans="1:15" hidden="1" x14ac:dyDescent="0.25">
      <c r="A78" s="66"/>
      <c r="B78" s="1"/>
      <c r="C78" s="1" t="str">
        <f t="shared" si="3"/>
        <v>Mn2O3</v>
      </c>
      <c r="D78" s="9">
        <f t="shared" si="4"/>
        <v>0</v>
      </c>
      <c r="E78" s="9">
        <f t="shared" si="5"/>
        <v>0</v>
      </c>
      <c r="F78" s="8">
        <f t="shared" si="6"/>
        <v>0</v>
      </c>
      <c r="G78" s="8">
        <f t="shared" si="7"/>
        <v>0</v>
      </c>
      <c r="H78" s="4">
        <f t="shared" si="8"/>
        <v>0</v>
      </c>
      <c r="I78" s="3">
        <f t="shared" si="9"/>
        <v>0</v>
      </c>
      <c r="K78" s="1"/>
      <c r="L78" s="1"/>
      <c r="M78" s="1"/>
    </row>
    <row r="79" spans="1:15" hidden="1" x14ac:dyDescent="0.25">
      <c r="A79" s="66"/>
      <c r="B79" s="1"/>
      <c r="C79" s="1" t="str">
        <f t="shared" si="3"/>
        <v>Na2O</v>
      </c>
      <c r="D79" s="9">
        <f t="shared" si="4"/>
        <v>0</v>
      </c>
      <c r="E79" s="9">
        <f t="shared" si="5"/>
        <v>0</v>
      </c>
      <c r="F79" s="8">
        <f t="shared" si="6"/>
        <v>0</v>
      </c>
      <c r="G79" s="8">
        <f t="shared" si="7"/>
        <v>0</v>
      </c>
      <c r="H79" s="4">
        <f t="shared" si="8"/>
        <v>0</v>
      </c>
      <c r="I79" s="3">
        <f t="shared" si="9"/>
        <v>0</v>
      </c>
      <c r="K79" s="1"/>
      <c r="L79" s="1"/>
      <c r="M79" s="1"/>
    </row>
    <row r="80" spans="1:15" hidden="1" x14ac:dyDescent="0.25">
      <c r="A80" s="66"/>
      <c r="B80" s="1"/>
      <c r="C80" s="1" t="str">
        <f t="shared" si="3"/>
        <v>K2O</v>
      </c>
      <c r="D80" s="9">
        <f t="shared" si="4"/>
        <v>0</v>
      </c>
      <c r="E80" s="9">
        <f t="shared" si="5"/>
        <v>0</v>
      </c>
      <c r="F80" s="8">
        <f t="shared" si="6"/>
        <v>0</v>
      </c>
      <c r="G80" s="8">
        <f t="shared" si="7"/>
        <v>0</v>
      </c>
      <c r="H80" s="4">
        <f t="shared" si="8"/>
        <v>0</v>
      </c>
      <c r="I80" s="3">
        <f t="shared" si="9"/>
        <v>0</v>
      </c>
      <c r="K80" s="1"/>
      <c r="L80" s="1"/>
      <c r="M80" s="1"/>
    </row>
    <row r="81" spans="1:15" hidden="1" x14ac:dyDescent="0.25">
      <c r="A81" s="66"/>
      <c r="B81" s="1"/>
      <c r="C81" s="1"/>
      <c r="D81" s="1"/>
      <c r="E81" s="1"/>
      <c r="F81" s="2"/>
      <c r="G81" s="2"/>
      <c r="H81" s="1"/>
      <c r="I81" s="1"/>
      <c r="K81" s="1"/>
      <c r="L81" s="1"/>
      <c r="M81" s="1"/>
    </row>
    <row r="82" spans="1:15" hidden="1" x14ac:dyDescent="0.25">
      <c r="A82" s="66"/>
      <c r="B82" s="1"/>
      <c r="C82" s="1" t="s">
        <v>14</v>
      </c>
      <c r="D82" s="7">
        <f t="shared" ref="D82:I82" si="10">SUM(D69:D80)</f>
        <v>100</v>
      </c>
      <c r="E82" s="7">
        <f t="shared" si="10"/>
        <v>100</v>
      </c>
      <c r="F82" s="7">
        <f t="shared" si="10"/>
        <v>105.73236370960855</v>
      </c>
      <c r="G82" s="7">
        <f t="shared" si="10"/>
        <v>-5.7323637096085225</v>
      </c>
      <c r="H82" s="7">
        <f t="shared" si="10"/>
        <v>100.00000000000001</v>
      </c>
      <c r="I82" s="7">
        <f t="shared" si="10"/>
        <v>100.00000000000004</v>
      </c>
      <c r="K82" s="1"/>
      <c r="L82" s="1"/>
      <c r="M82" s="1"/>
    </row>
    <row r="83" spans="1:15" hidden="1" x14ac:dyDescent="0.25">
      <c r="A83" s="66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 hidden="1" x14ac:dyDescent="0.25">
      <c r="A84" s="66"/>
      <c r="B84" s="1"/>
      <c r="C84" s="161" t="s">
        <v>13</v>
      </c>
      <c r="D84" s="161"/>
      <c r="E84" s="161"/>
      <c r="F84" s="161"/>
      <c r="G84" s="161"/>
      <c r="H84" s="161"/>
      <c r="I84" s="161"/>
      <c r="J84" s="5"/>
      <c r="K84" s="5"/>
      <c r="L84" s="5"/>
      <c r="M84" s="1"/>
      <c r="N84" s="1"/>
      <c r="O84" s="1"/>
    </row>
    <row r="85" spans="1:15" hidden="1" x14ac:dyDescent="0.25">
      <c r="A85" s="66"/>
      <c r="B85" s="1"/>
      <c r="C85" s="161"/>
      <c r="D85" s="161"/>
      <c r="E85" s="161"/>
      <c r="F85" s="161"/>
      <c r="G85" s="161"/>
      <c r="H85" s="161"/>
      <c r="I85" s="161"/>
      <c r="J85" s="5"/>
      <c r="K85" s="5"/>
      <c r="L85" s="5"/>
      <c r="M85" s="1"/>
      <c r="N85" s="1"/>
      <c r="O85" s="1"/>
    </row>
    <row r="86" spans="1:15" hidden="1" x14ac:dyDescent="0.25">
      <c r="A86" s="66"/>
      <c r="C86" s="1" t="s">
        <v>12</v>
      </c>
      <c r="D86" s="2">
        <f t="shared" ref="D86:I86" si="11">D72/(D71+D70+D69)</f>
        <v>3.864187550525465</v>
      </c>
      <c r="E86" s="2">
        <f t="shared" si="11"/>
        <v>0.66932447397563677</v>
      </c>
      <c r="F86" s="2">
        <f t="shared" si="11"/>
        <v>3.864187550525465</v>
      </c>
      <c r="G86" s="2">
        <f t="shared" si="11"/>
        <v>0.66932447397563666</v>
      </c>
      <c r="H86" s="4">
        <f t="shared" si="11"/>
        <v>4.6523753441306708</v>
      </c>
      <c r="I86" s="6">
        <f t="shared" si="11"/>
        <v>4.6523753441306699</v>
      </c>
      <c r="J86" s="1" t="str">
        <f>C86</f>
        <v>MH</v>
      </c>
      <c r="K86" s="1"/>
      <c r="M86" s="1"/>
    </row>
    <row r="87" spans="1:15" hidden="1" x14ac:dyDescent="0.25">
      <c r="A87" s="66"/>
      <c r="C87" s="1" t="s">
        <v>11</v>
      </c>
      <c r="D87" s="2">
        <f t="shared" ref="D87:I87" si="12">D69/(D70+D71)</f>
        <v>2.3705722070844684</v>
      </c>
      <c r="E87" s="2">
        <f t="shared" si="12"/>
        <v>2.7191103789126849</v>
      </c>
      <c r="F87" s="2">
        <f t="shared" si="12"/>
        <v>2.3705722070844684</v>
      </c>
      <c r="G87" s="2">
        <f t="shared" si="12"/>
        <v>2.7191103789126849</v>
      </c>
      <c r="H87" s="4">
        <f t="shared" si="12"/>
        <v>2.2944053954707595</v>
      </c>
      <c r="I87" s="6">
        <f t="shared" si="12"/>
        <v>2.2944053954707595</v>
      </c>
      <c r="J87" s="1" t="str">
        <f>C87</f>
        <v>SM</v>
      </c>
      <c r="K87" s="1"/>
      <c r="M87" s="1"/>
    </row>
    <row r="88" spans="1:15" hidden="1" x14ac:dyDescent="0.25">
      <c r="A88" s="66"/>
      <c r="C88" s="1" t="s">
        <v>10</v>
      </c>
      <c r="D88" s="2">
        <f t="shared" ref="D88:I88" si="13">D70/D71</f>
        <v>1.7803030303030303</v>
      </c>
      <c r="E88" s="2">
        <f t="shared" si="13"/>
        <v>1.5134575569358177</v>
      </c>
      <c r="F88" s="2">
        <f t="shared" si="13"/>
        <v>1.7803030303030301</v>
      </c>
      <c r="G88" s="2">
        <f t="shared" si="13"/>
        <v>1.5134575569358177</v>
      </c>
      <c r="H88" s="4">
        <f t="shared" si="13"/>
        <v>1.8463405216782627</v>
      </c>
      <c r="I88" s="6">
        <f t="shared" si="13"/>
        <v>1.8463405216782629</v>
      </c>
      <c r="J88" s="1" t="str">
        <f>C88</f>
        <v>TM</v>
      </c>
      <c r="K88" s="1"/>
      <c r="M88" s="1"/>
    </row>
    <row r="89" spans="1:15" hidden="1" x14ac:dyDescent="0.25">
      <c r="A89" s="66"/>
      <c r="C89" s="1" t="s">
        <v>9</v>
      </c>
      <c r="D89" s="2">
        <f t="shared" ref="D89:I89" si="14">D69/D70</f>
        <v>3.7021276595744674</v>
      </c>
      <c r="E89" s="2">
        <f t="shared" si="14"/>
        <v>4.5157318741450068</v>
      </c>
      <c r="F89" s="2">
        <f t="shared" si="14"/>
        <v>3.7021276595744679</v>
      </c>
      <c r="G89" s="2">
        <f t="shared" si="14"/>
        <v>4.5157318741450068</v>
      </c>
      <c r="H89" s="4">
        <f t="shared" si="14"/>
        <v>3.5370826635757897</v>
      </c>
      <c r="I89" s="6">
        <f t="shared" si="14"/>
        <v>3.5370826635757897</v>
      </c>
      <c r="J89" s="1" t="str">
        <f>C89</f>
        <v>MS</v>
      </c>
      <c r="K89" s="1"/>
      <c r="M89" s="1"/>
    </row>
    <row r="90" spans="1:15" hidden="1" x14ac:dyDescent="0.25">
      <c r="A90" s="66"/>
      <c r="M90" s="1"/>
      <c r="O90" s="1"/>
    </row>
    <row r="91" spans="1:15" hidden="1" x14ac:dyDescent="0.25">
      <c r="A91" s="66"/>
      <c r="B91" s="1"/>
      <c r="C91" s="161" t="s">
        <v>8</v>
      </c>
      <c r="D91" s="161"/>
      <c r="E91" s="161"/>
      <c r="F91" s="161"/>
      <c r="G91" s="161"/>
      <c r="H91" s="161"/>
      <c r="I91" s="161"/>
      <c r="J91" s="5"/>
      <c r="K91" s="5"/>
      <c r="L91" s="5"/>
      <c r="M91" s="1"/>
      <c r="N91" s="1"/>
      <c r="O91" s="1"/>
    </row>
    <row r="92" spans="1:15" hidden="1" x14ac:dyDescent="0.25">
      <c r="A92" s="66"/>
      <c r="B92" s="1"/>
      <c r="C92" s="161"/>
      <c r="D92" s="161"/>
      <c r="E92" s="161"/>
      <c r="F92" s="161"/>
      <c r="G92" s="161"/>
      <c r="H92" s="161"/>
      <c r="I92" s="161"/>
      <c r="J92" s="5"/>
      <c r="K92" s="5"/>
      <c r="L92" s="5"/>
      <c r="M92" s="1"/>
      <c r="N92" s="1"/>
      <c r="O92" s="1"/>
    </row>
    <row r="93" spans="1:15" hidden="1" x14ac:dyDescent="0.25">
      <c r="A93" s="66"/>
      <c r="B93" s="1"/>
      <c r="K93" s="1"/>
      <c r="L93" s="1"/>
      <c r="M93" s="1"/>
    </row>
    <row r="94" spans="1:15" hidden="1" x14ac:dyDescent="0.25">
      <c r="A94" s="66"/>
      <c r="C94" s="1" t="s">
        <v>6</v>
      </c>
      <c r="D94" s="2">
        <f t="shared" ref="D94:I94" si="15">(D72)/(2.8*D69+1.65*D70+0.35*D71)</f>
        <v>1.6655342427568425</v>
      </c>
      <c r="E94" s="2">
        <f t="shared" si="15"/>
        <v>0.28461103786023739</v>
      </c>
      <c r="F94" s="2">
        <f t="shared" si="15"/>
        <v>1.6655342427568427</v>
      </c>
      <c r="G94" s="2">
        <f t="shared" si="15"/>
        <v>0.28461103786023734</v>
      </c>
      <c r="H94" s="4">
        <f t="shared" si="15"/>
        <v>2.0120239605945618</v>
      </c>
      <c r="I94" s="3">
        <f t="shared" si="15"/>
        <v>2.0120239605945613</v>
      </c>
      <c r="J94" s="2" t="str">
        <f t="shared" ref="J94:J99" si="16">C94</f>
        <v>KSG</v>
      </c>
      <c r="M94" s="1"/>
    </row>
    <row r="95" spans="1:15" hidden="1" x14ac:dyDescent="0.25">
      <c r="A95" s="66"/>
      <c r="C95" s="1" t="s">
        <v>5</v>
      </c>
      <c r="D95" s="2">
        <f t="shared" ref="D95:I95" si="17">(D72)/(2.8*D69+1.1*D70+0.7*D71)</f>
        <v>1.7151673902902869</v>
      </c>
      <c r="E95" s="2">
        <f t="shared" si="17"/>
        <v>0.29099662975445356</v>
      </c>
      <c r="F95" s="2">
        <f t="shared" si="17"/>
        <v>1.7151673902902869</v>
      </c>
      <c r="G95" s="2">
        <f t="shared" si="17"/>
        <v>0.29099662975445356</v>
      </c>
      <c r="H95" s="4">
        <f t="shared" si="17"/>
        <v>2.0757337117461687</v>
      </c>
      <c r="I95" s="3">
        <f t="shared" si="17"/>
        <v>2.0757337117461687</v>
      </c>
      <c r="J95" s="2" t="str">
        <f t="shared" si="16"/>
        <v>KSt</v>
      </c>
      <c r="K95" s="1"/>
      <c r="M95" s="1"/>
    </row>
    <row r="96" spans="1:15" hidden="1" x14ac:dyDescent="0.25">
      <c r="A96" s="66"/>
      <c r="C96" s="1" t="s">
        <v>4</v>
      </c>
      <c r="D96" s="2">
        <f t="shared" ref="D96:I96" si="18">(D72)/(2.8*D69+1.18*D70+0.65*D71)</f>
        <v>1.7076917580650925</v>
      </c>
      <c r="E96" s="2">
        <f t="shared" si="18"/>
        <v>0.29003784312427006</v>
      </c>
      <c r="F96" s="2">
        <f t="shared" si="18"/>
        <v>1.7076917580650923</v>
      </c>
      <c r="G96" s="2">
        <f t="shared" si="18"/>
        <v>0.29003784312427</v>
      </c>
      <c r="H96" s="4">
        <f t="shared" si="18"/>
        <v>2.0661282768696294</v>
      </c>
      <c r="I96" s="3">
        <f t="shared" si="18"/>
        <v>2.066128276869629</v>
      </c>
      <c r="J96" s="2" t="str">
        <f t="shared" si="16"/>
        <v>KSt I</v>
      </c>
      <c r="K96" s="1"/>
      <c r="M96" s="1"/>
    </row>
    <row r="97" spans="1:15" ht="19.5" hidden="1" customHeight="1" x14ac:dyDescent="0.25">
      <c r="A97" s="66"/>
      <c r="C97" s="1" t="s">
        <v>7</v>
      </c>
      <c r="D97" s="2">
        <f t="shared" ref="D97:I97" si="19">(D72-(1.65*D70+0.35*D71))/(2.8*D69)</f>
        <v>1.7840927750410511</v>
      </c>
      <c r="E97" s="2">
        <f t="shared" si="19"/>
        <v>0.17817111697753932</v>
      </c>
      <c r="F97" s="2">
        <f t="shared" si="19"/>
        <v>1.7840927750410509</v>
      </c>
      <c r="G97" s="2">
        <f t="shared" si="19"/>
        <v>0.17817111697753929</v>
      </c>
      <c r="H97" s="4">
        <f t="shared" si="19"/>
        <v>2.2000000000000006</v>
      </c>
      <c r="I97" s="3">
        <f t="shared" si="19"/>
        <v>2.2000000000000002</v>
      </c>
      <c r="J97" s="1" t="str">
        <f t="shared" si="16"/>
        <v>KSK</v>
      </c>
      <c r="M97" s="1"/>
    </row>
    <row r="98" spans="1:15" hidden="1" x14ac:dyDescent="0.25">
      <c r="A98" s="66"/>
      <c r="C98" s="1" t="s">
        <v>3</v>
      </c>
      <c r="D98" s="2">
        <f t="shared" ref="D98:I98" si="20">((D72+0.75*D73))/(2.8*D69+1.18*D70+0.65*D71)</f>
        <v>1.7478832481869173</v>
      </c>
      <c r="E98" s="2">
        <f t="shared" si="20"/>
        <v>0.29478862844347964</v>
      </c>
      <c r="F98" s="2">
        <f t="shared" si="20"/>
        <v>1.7478832481869173</v>
      </c>
      <c r="G98" s="2">
        <f t="shared" si="20"/>
        <v>0.29478862844347958</v>
      </c>
      <c r="H98" s="4">
        <f t="shared" si="20"/>
        <v>2.1152805173689249</v>
      </c>
      <c r="I98" s="3">
        <f t="shared" si="20"/>
        <v>2.1152805173689244</v>
      </c>
      <c r="J98" s="2" t="str">
        <f t="shared" si="16"/>
        <v>KSt II</v>
      </c>
      <c r="K98" s="161" t="s">
        <v>1</v>
      </c>
      <c r="L98" s="161"/>
    </row>
    <row r="99" spans="1:15" hidden="1" x14ac:dyDescent="0.25">
      <c r="A99" s="66"/>
      <c r="B99" s="1"/>
      <c r="C99" s="1" t="s">
        <v>2</v>
      </c>
      <c r="D99" s="2">
        <f t="shared" ref="D99:I99" si="21">(D72-0.7*D74)/(2.8*D69+1.2*D70+0.65*D71)</f>
        <v>1.6973393252015123</v>
      </c>
      <c r="E99" s="2">
        <f t="shared" si="21"/>
        <v>0.28828966977990123</v>
      </c>
      <c r="F99" s="2">
        <f t="shared" si="21"/>
        <v>1.6973393252015123</v>
      </c>
      <c r="G99" s="2">
        <f t="shared" si="21"/>
        <v>0.28828966977990117</v>
      </c>
      <c r="H99" s="4">
        <f t="shared" si="21"/>
        <v>2.0534774101199491</v>
      </c>
      <c r="I99" s="3">
        <f t="shared" si="21"/>
        <v>2.0534774101199491</v>
      </c>
      <c r="J99" s="2" t="str">
        <f t="shared" si="16"/>
        <v>LSF</v>
      </c>
      <c r="K99" s="161" t="s">
        <v>0</v>
      </c>
      <c r="L99" s="161"/>
    </row>
    <row r="100" spans="1:15" x14ac:dyDescent="0.25">
      <c r="A100" s="66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5" ht="18.75" x14ac:dyDescent="0.25">
      <c r="A102" s="1"/>
      <c r="B102" s="1"/>
      <c r="C102" s="1"/>
      <c r="D102" s="229" t="s">
        <v>139</v>
      </c>
      <c r="E102" s="229"/>
      <c r="F102" s="154" t="s">
        <v>140</v>
      </c>
      <c r="G102" s="154"/>
      <c r="H102" s="154"/>
      <c r="I102" s="154"/>
      <c r="J102" s="154"/>
      <c r="K102" s="154"/>
      <c r="L102" s="154"/>
      <c r="M102" s="154"/>
      <c r="N102" s="154"/>
      <c r="O102" s="154"/>
    </row>
    <row r="103" spans="1:15" x14ac:dyDescent="0.25">
      <c r="A103" s="1"/>
      <c r="B103" s="1"/>
      <c r="C103" s="1"/>
      <c r="D103" s="1"/>
      <c r="E103" s="1"/>
      <c r="F103" s="225" t="s">
        <v>141</v>
      </c>
      <c r="G103" s="225"/>
      <c r="H103" s="225"/>
      <c r="I103" s="225"/>
      <c r="J103" s="225"/>
      <c r="K103" s="225"/>
      <c r="L103" s="225"/>
      <c r="M103" s="225"/>
      <c r="N103" s="225"/>
      <c r="O103" s="225"/>
    </row>
    <row r="105" spans="1:15" x14ac:dyDescent="0.25">
      <c r="D105" s="226" t="s">
        <v>142</v>
      </c>
      <c r="E105" s="226"/>
    </row>
    <row r="107" spans="1:15" x14ac:dyDescent="0.25">
      <c r="D107" s="223" t="s">
        <v>144</v>
      </c>
      <c r="E107" s="223"/>
      <c r="F107" s="223"/>
    </row>
    <row r="117" spans="4:5" x14ac:dyDescent="0.25">
      <c r="D117" s="224" t="s">
        <v>143</v>
      </c>
      <c r="E117" s="224"/>
    </row>
    <row r="130" spans="4:7" x14ac:dyDescent="0.25">
      <c r="D130" s="223" t="s">
        <v>145</v>
      </c>
      <c r="E130" s="223"/>
      <c r="F130" s="223"/>
      <c r="G130" s="223"/>
    </row>
    <row r="137" spans="4:7" x14ac:dyDescent="0.25">
      <c r="D137" s="224" t="s">
        <v>143</v>
      </c>
      <c r="E137" s="224"/>
    </row>
  </sheetData>
  <mergeCells count="41">
    <mergeCell ref="M9:Y9"/>
    <mergeCell ref="M11:Y11"/>
    <mergeCell ref="S14:T14"/>
    <mergeCell ref="S15:T15"/>
    <mergeCell ref="M18:Y18"/>
    <mergeCell ref="S13:T13"/>
    <mergeCell ref="D17:E17"/>
    <mergeCell ref="D18:E18"/>
    <mergeCell ref="C91:I92"/>
    <mergeCell ref="F62:J63"/>
    <mergeCell ref="P34:S34"/>
    <mergeCell ref="M24:Y24"/>
    <mergeCell ref="M30:Y30"/>
    <mergeCell ref="P32:S32"/>
    <mergeCell ref="Q26:R26"/>
    <mergeCell ref="Q27:R27"/>
    <mergeCell ref="Q28:R28"/>
    <mergeCell ref="P33:S33"/>
    <mergeCell ref="V33:Y35"/>
    <mergeCell ref="G2:R2"/>
    <mergeCell ref="D3:Q3"/>
    <mergeCell ref="D4:Q4"/>
    <mergeCell ref="D102:E102"/>
    <mergeCell ref="D8:E8"/>
    <mergeCell ref="D9:E9"/>
    <mergeCell ref="D10:E10"/>
    <mergeCell ref="D11:E11"/>
    <mergeCell ref="D13:E13"/>
    <mergeCell ref="D14:E14"/>
    <mergeCell ref="D15:E15"/>
    <mergeCell ref="C20:H20"/>
    <mergeCell ref="K98:L98"/>
    <mergeCell ref="K99:L99"/>
    <mergeCell ref="C84:I85"/>
    <mergeCell ref="D16:E16"/>
    <mergeCell ref="D130:G130"/>
    <mergeCell ref="D137:E137"/>
    <mergeCell ref="F103:O103"/>
    <mergeCell ref="D105:E105"/>
    <mergeCell ref="D107:F107"/>
    <mergeCell ref="D117:E117"/>
  </mergeCells>
  <pageMargins left="0.7" right="0.7" top="0.75" bottom="0.75" header="0.3" footer="0.3"/>
  <pageSetup orientation="portrait" horizont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"/>
  <sheetViews>
    <sheetView topLeftCell="A13" zoomScale="70" zoomScaleNormal="70" workbookViewId="0">
      <selection activeCell="I38" sqref="I38"/>
    </sheetView>
  </sheetViews>
  <sheetFormatPr baseColWidth="10" defaultRowHeight="15" x14ac:dyDescent="0.25"/>
  <cols>
    <col min="1" max="1" width="16.7109375" bestFit="1" customWidth="1"/>
    <col min="3" max="3" width="21.140625" bestFit="1" customWidth="1"/>
    <col min="4" max="4" width="21" bestFit="1" customWidth="1"/>
    <col min="8" max="8" width="10" bestFit="1" customWidth="1"/>
    <col min="9" max="9" width="8.28515625" bestFit="1" customWidth="1"/>
    <col min="10" max="10" width="11.85546875" customWidth="1"/>
    <col min="11" max="11" width="12.42578125" bestFit="1" customWidth="1"/>
    <col min="12" max="12" width="11.140625" bestFit="1" customWidth="1"/>
    <col min="13" max="13" width="34" customWidth="1"/>
    <col min="14" max="14" width="1.5703125" customWidth="1"/>
    <col min="28" max="28" width="11.5703125" customWidth="1"/>
  </cols>
  <sheetData>
    <row r="1" spans="1:28" ht="26.25" x14ac:dyDescent="0.25">
      <c r="K1" s="227" t="s">
        <v>135</v>
      </c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</row>
    <row r="2" spans="1:28" x14ac:dyDescent="0.25">
      <c r="C2" s="1" t="s">
        <v>12</v>
      </c>
      <c r="D2" s="1" t="s">
        <v>51</v>
      </c>
    </row>
    <row r="3" spans="1:28" x14ac:dyDescent="0.25">
      <c r="C3" s="1" t="s">
        <v>11</v>
      </c>
      <c r="D3" s="1" t="s">
        <v>50</v>
      </c>
    </row>
    <row r="4" spans="1:28" ht="15.75" thickBot="1" x14ac:dyDescent="0.3">
      <c r="C4" s="1" t="s">
        <v>9</v>
      </c>
      <c r="D4" s="1" t="s">
        <v>49</v>
      </c>
    </row>
    <row r="5" spans="1:28" ht="21" x14ac:dyDescent="0.25">
      <c r="C5" s="1" t="s">
        <v>10</v>
      </c>
      <c r="D5" s="1" t="s">
        <v>48</v>
      </c>
      <c r="N5" s="26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28"/>
    </row>
    <row r="6" spans="1:28" ht="21" x14ac:dyDescent="0.25">
      <c r="C6" s="1" t="s">
        <v>7</v>
      </c>
      <c r="D6" s="1" t="s">
        <v>47</v>
      </c>
      <c r="N6" s="60"/>
      <c r="O6" s="252" t="s">
        <v>71</v>
      </c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52"/>
    </row>
    <row r="7" spans="1:28" ht="21" x14ac:dyDescent="0.25">
      <c r="C7" s="1" t="s">
        <v>6</v>
      </c>
      <c r="D7" s="1" t="s">
        <v>46</v>
      </c>
      <c r="N7" s="60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52"/>
    </row>
    <row r="8" spans="1:28" ht="21" x14ac:dyDescent="0.25">
      <c r="C8" s="1" t="s">
        <v>5</v>
      </c>
      <c r="D8" s="1" t="s">
        <v>44</v>
      </c>
      <c r="N8" s="63"/>
      <c r="O8" s="253" t="s">
        <v>80</v>
      </c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52"/>
    </row>
    <row r="9" spans="1:28" ht="21.75" thickBot="1" x14ac:dyDescent="0.3">
      <c r="C9" s="71"/>
      <c r="D9" s="71"/>
      <c r="N9" s="63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76"/>
    </row>
    <row r="10" spans="1:28" ht="21.75" thickBot="1" x14ac:dyDescent="0.3">
      <c r="C10" s="1" t="s">
        <v>4</v>
      </c>
      <c r="D10" s="1" t="s">
        <v>44</v>
      </c>
      <c r="N10" s="63"/>
      <c r="O10" s="101"/>
      <c r="P10" s="101"/>
      <c r="Q10" s="101"/>
      <c r="R10" s="101"/>
      <c r="S10" s="101"/>
      <c r="T10" s="101"/>
      <c r="U10" s="182" t="s">
        <v>14</v>
      </c>
      <c r="V10" s="183"/>
      <c r="W10" s="101"/>
      <c r="X10" s="101"/>
      <c r="Y10" s="101"/>
      <c r="Z10" s="101"/>
      <c r="AA10" s="101"/>
      <c r="AB10" s="52"/>
    </row>
    <row r="11" spans="1:28" ht="21" x14ac:dyDescent="0.25">
      <c r="C11" s="1" t="s">
        <v>3</v>
      </c>
      <c r="D11" s="1" t="s">
        <v>44</v>
      </c>
      <c r="N11" s="63"/>
      <c r="O11" s="101"/>
      <c r="P11" s="184" t="str">
        <f>D22</f>
        <v>CALIZA</v>
      </c>
      <c r="Q11" s="185"/>
      <c r="R11" s="185"/>
      <c r="S11" s="186"/>
      <c r="T11" s="116" t="str">
        <f>C62</f>
        <v>X</v>
      </c>
      <c r="U11" s="187">
        <f>D62*100</f>
        <v>69.953556419582242</v>
      </c>
      <c r="V11" s="188"/>
      <c r="W11" s="101"/>
      <c r="X11" s="101"/>
      <c r="Y11" s="101"/>
      <c r="Z11" s="101"/>
      <c r="AA11" s="101"/>
      <c r="AB11" s="52"/>
    </row>
    <row r="12" spans="1:28" ht="21" x14ac:dyDescent="0.25">
      <c r="C12" s="1" t="s">
        <v>2</v>
      </c>
      <c r="D12" s="1" t="s">
        <v>43</v>
      </c>
      <c r="N12" s="63"/>
      <c r="O12" s="101"/>
      <c r="P12" s="177" t="str">
        <f>E22</f>
        <v>ESCORIAS DE HORNO ALTO</v>
      </c>
      <c r="Q12" s="178"/>
      <c r="R12" s="178"/>
      <c r="S12" s="179"/>
      <c r="T12" s="117" t="str">
        <f>C63</f>
        <v>Y</v>
      </c>
      <c r="U12" s="180">
        <f>D63*100</f>
        <v>27.729483925295717</v>
      </c>
      <c r="V12" s="181"/>
      <c r="W12" s="101"/>
      <c r="X12" s="101"/>
      <c r="Y12" s="101"/>
      <c r="Z12" s="101"/>
      <c r="AA12" s="101"/>
      <c r="AB12" s="52"/>
    </row>
    <row r="13" spans="1:28" ht="21.75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63"/>
      <c r="O13" s="101"/>
      <c r="P13" s="172" t="str">
        <f>F22</f>
        <v>CENIZAS DE PIRITA</v>
      </c>
      <c r="Q13" s="173"/>
      <c r="R13" s="173"/>
      <c r="S13" s="174"/>
      <c r="T13" s="118" t="str">
        <f>C64</f>
        <v>Z</v>
      </c>
      <c r="U13" s="175">
        <f>D64*100</f>
        <v>2.3169596551220399</v>
      </c>
      <c r="V13" s="176"/>
      <c r="W13" s="101"/>
      <c r="X13" s="101"/>
      <c r="Y13" s="101"/>
      <c r="Z13" s="101"/>
      <c r="AA13" s="101"/>
      <c r="AB13" s="52"/>
    </row>
    <row r="14" spans="1:28" ht="21" x14ac:dyDescent="0.25">
      <c r="A14" s="1"/>
      <c r="B14" s="1"/>
      <c r="C14" s="161" t="s">
        <v>58</v>
      </c>
      <c r="D14" s="161"/>
      <c r="E14" s="161"/>
      <c r="F14" s="161"/>
      <c r="G14" s="161"/>
      <c r="H14" s="161"/>
      <c r="I14" s="161"/>
      <c r="J14" s="161"/>
      <c r="K14" s="161"/>
      <c r="L14" s="161"/>
      <c r="M14" s="1"/>
      <c r="N14" s="63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52"/>
    </row>
    <row r="15" spans="1:28" ht="21" x14ac:dyDescent="0.25">
      <c r="A15" s="1"/>
      <c r="B15" s="1"/>
      <c r="C15" s="1" t="s">
        <v>57</v>
      </c>
      <c r="D15" s="1" t="s">
        <v>56</v>
      </c>
      <c r="E15" s="1"/>
      <c r="F15" s="1"/>
      <c r="G15" s="1"/>
      <c r="H15" s="1"/>
      <c r="I15" s="1"/>
      <c r="J15" s="1"/>
      <c r="K15" s="1"/>
      <c r="L15" s="1"/>
      <c r="M15" s="1"/>
      <c r="N15" s="63"/>
      <c r="O15" s="254" t="s">
        <v>79</v>
      </c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52"/>
    </row>
    <row r="16" spans="1:28" ht="21.75" thickBot="1" x14ac:dyDescent="0.3">
      <c r="A16" s="1"/>
      <c r="B16" s="1"/>
      <c r="C16" s="99" t="s">
        <v>7</v>
      </c>
      <c r="D16" s="14">
        <v>0.9</v>
      </c>
      <c r="E16" s="1"/>
      <c r="F16" s="1"/>
      <c r="I16" s="1"/>
      <c r="J16" s="1"/>
      <c r="M16" s="1"/>
      <c r="N16" s="63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52"/>
    </row>
    <row r="17" spans="1:28" ht="21" x14ac:dyDescent="0.25">
      <c r="A17" s="1"/>
      <c r="B17" s="1"/>
      <c r="C17" s="99" t="s">
        <v>11</v>
      </c>
      <c r="D17" s="14">
        <v>2.5</v>
      </c>
      <c r="E17" s="1"/>
      <c r="F17" s="1"/>
      <c r="I17" s="1"/>
      <c r="J17" s="1"/>
      <c r="M17" s="1"/>
      <c r="N17" s="63"/>
      <c r="O17" s="102"/>
      <c r="P17" s="103" t="str">
        <f>I23</f>
        <v>SiO2</v>
      </c>
      <c r="Q17" s="103" t="str">
        <f>I24</f>
        <v>Al2O3</v>
      </c>
      <c r="R17" s="103" t="str">
        <f>I25</f>
        <v>Fe2O3</v>
      </c>
      <c r="S17" s="103" t="str">
        <f>I26</f>
        <v>CaO</v>
      </c>
      <c r="T17" s="103" t="str">
        <f>I27</f>
        <v>MgO</v>
      </c>
      <c r="U17" s="103" t="str">
        <f>I28</f>
        <v>SO3</v>
      </c>
      <c r="V17" s="103" t="str">
        <f>I29</f>
        <v>P.C.</v>
      </c>
      <c r="W17" s="103" t="str">
        <f>I30</f>
        <v>Resto</v>
      </c>
      <c r="X17" s="103" t="str">
        <f>I31</f>
        <v>TiO2</v>
      </c>
      <c r="Y17" s="103" t="str">
        <f>I32</f>
        <v>Mn2O3</v>
      </c>
      <c r="Z17" s="103" t="str">
        <f>I33</f>
        <v>Na2O</v>
      </c>
      <c r="AA17" s="159" t="str">
        <f>I34</f>
        <v>K2O</v>
      </c>
      <c r="AB17" s="35" t="s">
        <v>66</v>
      </c>
    </row>
    <row r="18" spans="1:28" ht="21" x14ac:dyDescent="0.25">
      <c r="A18" s="1"/>
      <c r="B18" s="1"/>
      <c r="C18" s="1"/>
      <c r="D18" s="1"/>
      <c r="E18" s="1"/>
      <c r="F18" s="1"/>
      <c r="I18" s="1"/>
      <c r="J18" s="1"/>
      <c r="M18" s="1"/>
      <c r="N18" s="63"/>
      <c r="O18" s="104" t="s">
        <v>16</v>
      </c>
      <c r="P18" s="109">
        <f>J70</f>
        <v>15.920877644190142</v>
      </c>
      <c r="Q18" s="109">
        <f>J71</f>
        <v>3.214487612740546</v>
      </c>
      <c r="R18" s="109">
        <f>J72</f>
        <v>3.1538634449355119</v>
      </c>
      <c r="S18" s="109">
        <f>J73</f>
        <v>46.528368430108486</v>
      </c>
      <c r="T18" s="109">
        <f>J74</f>
        <v>3.0910311937043629</v>
      </c>
      <c r="U18" s="109">
        <f>J75</f>
        <v>0.29557059520631201</v>
      </c>
      <c r="V18" s="109">
        <f>J76</f>
        <v>27.751181966191627</v>
      </c>
      <c r="W18" s="109">
        <f>J77</f>
        <v>4.4619112923010323E-2</v>
      </c>
      <c r="X18" s="109">
        <f>J78</f>
        <v>0</v>
      </c>
      <c r="Y18" s="109">
        <f>J79</f>
        <v>0</v>
      </c>
      <c r="Z18" s="109">
        <f>J80</f>
        <v>0</v>
      </c>
      <c r="AA18" s="160">
        <f>J81</f>
        <v>0</v>
      </c>
      <c r="AB18" s="150">
        <f>SUM(P18:AA18)</f>
        <v>100</v>
      </c>
    </row>
    <row r="19" spans="1:28" ht="18" customHeight="1" thickBot="1" x14ac:dyDescent="0.3">
      <c r="A19" s="1"/>
      <c r="B19" s="1"/>
      <c r="E19" s="1"/>
      <c r="F19" s="1"/>
      <c r="G19" s="1" t="s">
        <v>38</v>
      </c>
      <c r="H19" s="13">
        <f>IF(D23+E23&lt;&gt;0,1,0)+IF(D24+E24&lt;&gt;0,1,0)+IF(D25+E25&lt;&gt;0,1,0)+IF(D26+E26&lt;&gt;0,1,0)+IF(D27+E27&lt;&gt;0,1,0)+IF(D28+E28&lt;&gt;0,1,0)+IF(D29+E29&lt;&gt;0,1,0)+IF(D30+E30&lt;&gt;0,1,0)+IF(D31+E31&lt;&gt;0,1,0)+IF(D32+E32&lt;&gt;0,1,0)+IF(D33+E33&lt;&gt;0,1,0)+IF(D34+E34&lt;&gt;0,1,0)</f>
        <v>8</v>
      </c>
      <c r="I19" s="1"/>
      <c r="J19" s="1"/>
      <c r="M19" s="1"/>
      <c r="N19" s="63"/>
      <c r="O19" s="106" t="s">
        <v>15</v>
      </c>
      <c r="P19" s="110">
        <f>K70</f>
        <v>22.036177307066904</v>
      </c>
      <c r="Q19" s="110">
        <f>K71</f>
        <v>4.4491905891613994</v>
      </c>
      <c r="R19" s="110">
        <f>K72</f>
        <v>4.3652803336653641</v>
      </c>
      <c r="S19" s="110">
        <f>K73</f>
        <v>64.400179402707778</v>
      </c>
      <c r="T19" s="110">
        <f>K74</f>
        <v>4.2783138573394162</v>
      </c>
      <c r="U19" s="110">
        <f>K75</f>
        <v>0.40910094206385722</v>
      </c>
      <c r="V19" s="110">
        <f>K76</f>
        <v>0</v>
      </c>
      <c r="W19" s="110">
        <f>K77</f>
        <v>6.1757567995273079E-2</v>
      </c>
      <c r="X19" s="110">
        <f>K78</f>
        <v>0</v>
      </c>
      <c r="Y19" s="110">
        <f>K79</f>
        <v>0</v>
      </c>
      <c r="Z19" s="110">
        <f>K80</f>
        <v>0</v>
      </c>
      <c r="AA19" s="147">
        <f>K81</f>
        <v>0</v>
      </c>
      <c r="AB19" s="150">
        <f>SUM(P19:AA19)</f>
        <v>99.999999999999986</v>
      </c>
    </row>
    <row r="20" spans="1:28" ht="21" x14ac:dyDescent="0.25">
      <c r="C20" s="1"/>
      <c r="D20" s="16"/>
      <c r="E20" s="1"/>
      <c r="F20" s="1"/>
      <c r="G20" s="1"/>
      <c r="H20" s="1"/>
      <c r="I20" s="1"/>
      <c r="J20" s="1"/>
      <c r="K20" s="1"/>
      <c r="L20" s="1"/>
      <c r="M20" s="1"/>
      <c r="N20" s="63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52"/>
    </row>
    <row r="21" spans="1:28" ht="21" x14ac:dyDescent="0.25">
      <c r="C21" s="1"/>
      <c r="D21" s="1" t="s">
        <v>37</v>
      </c>
      <c r="E21" s="1" t="s">
        <v>36</v>
      </c>
      <c r="F21" s="1" t="s">
        <v>55</v>
      </c>
      <c r="G21" s="1"/>
      <c r="H21" s="1"/>
      <c r="I21" s="1"/>
      <c r="J21" s="1" t="str">
        <f t="shared" ref="J21:L22" si="0">D21</f>
        <v>M.P. 1</v>
      </c>
      <c r="K21" s="1" t="str">
        <f t="shared" si="0"/>
        <v>M.P.2</v>
      </c>
      <c r="L21" s="1" t="str">
        <f t="shared" si="0"/>
        <v>M.P. 3</v>
      </c>
      <c r="M21" s="1"/>
      <c r="N21" s="63"/>
      <c r="O21" s="168" t="s">
        <v>13</v>
      </c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52"/>
    </row>
    <row r="22" spans="1:28" ht="21.75" thickBot="1" x14ac:dyDescent="0.3">
      <c r="C22" s="1"/>
      <c r="D22" s="1" t="s">
        <v>35</v>
      </c>
      <c r="E22" s="1" t="s">
        <v>81</v>
      </c>
      <c r="F22" s="1" t="s">
        <v>82</v>
      </c>
      <c r="G22" s="1"/>
      <c r="H22" s="1"/>
      <c r="I22" s="1"/>
      <c r="J22" s="1" t="str">
        <f t="shared" si="0"/>
        <v>CALIZA</v>
      </c>
      <c r="K22" s="1" t="str">
        <f t="shared" si="0"/>
        <v>ESCORIAS DE HORNO ALTO</v>
      </c>
      <c r="L22" s="1" t="str">
        <f t="shared" si="0"/>
        <v>CENIZAS DE PIRITA</v>
      </c>
      <c r="M22" s="1"/>
      <c r="N22" s="63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52"/>
    </row>
    <row r="23" spans="1:28" ht="21" x14ac:dyDescent="0.25">
      <c r="C23" s="1" t="s">
        <v>33</v>
      </c>
      <c r="D23" s="14">
        <v>6.75</v>
      </c>
      <c r="E23" s="14">
        <v>39.450000000000003</v>
      </c>
      <c r="F23" s="14">
        <v>11.21</v>
      </c>
      <c r="G23" s="1"/>
      <c r="H23" s="1"/>
      <c r="I23" s="1" t="str">
        <f t="shared" ref="I23:I34" si="1">C23</f>
        <v>SiO2</v>
      </c>
      <c r="J23" s="9">
        <f t="shared" ref="J23:J34" si="2">IF(D23=0,0,IF($D$36&lt;100,(IF(I23="Resto",D23+100-$D$36,D23)),IF($D$36&gt;100,D23-((D23*($D$36-100))/($D$36)),D23)))</f>
        <v>6.75</v>
      </c>
      <c r="K23" s="9">
        <f t="shared" ref="K23:K34" si="3">IF(E23=0,0,IF($E$36&lt;100,(IF(I23="Resto",E23+100-$E$36,E23)),IF($E$36&gt;100,E23-((E23*($E$36-100))/($E$36)),E23)))</f>
        <v>39.450000000000003</v>
      </c>
      <c r="L23" s="9">
        <f t="shared" ref="L23:L34" si="4">IF(F23=0,0,IF($F$36&lt;100,(IF(J23="Resto",F23+100-$F$36,F23)),IF($F$36&gt;100,F23-((F23*($F$36-100))/($F$36)),F23)))</f>
        <v>11.21</v>
      </c>
      <c r="M23" s="1"/>
      <c r="N23" s="63"/>
      <c r="O23" s="101"/>
      <c r="P23" s="101"/>
      <c r="Q23" s="101"/>
      <c r="R23" s="101"/>
      <c r="S23" s="162" t="s">
        <v>73</v>
      </c>
      <c r="T23" s="164"/>
      <c r="U23" s="103" t="str">
        <f>C87</f>
        <v>MH</v>
      </c>
      <c r="V23" s="111">
        <f>K87</f>
        <v>2.0874822118099052</v>
      </c>
      <c r="W23" s="101"/>
      <c r="X23" s="101"/>
      <c r="Y23" s="101"/>
      <c r="Z23" s="101"/>
      <c r="AA23" s="101"/>
      <c r="AB23" s="52"/>
    </row>
    <row r="24" spans="1:28" ht="21" x14ac:dyDescent="0.25">
      <c r="C24" s="1" t="s">
        <v>32</v>
      </c>
      <c r="D24" s="14">
        <v>0.71</v>
      </c>
      <c r="E24" s="14">
        <v>9.67</v>
      </c>
      <c r="F24" s="14">
        <v>1.57</v>
      </c>
      <c r="G24" s="1"/>
      <c r="H24" s="1"/>
      <c r="I24" s="1" t="str">
        <f t="shared" si="1"/>
        <v>Al2O3</v>
      </c>
      <c r="J24" s="9">
        <f t="shared" si="2"/>
        <v>0.71</v>
      </c>
      <c r="K24" s="9">
        <f t="shared" si="3"/>
        <v>9.67</v>
      </c>
      <c r="L24" s="9">
        <f t="shared" si="4"/>
        <v>1.57</v>
      </c>
      <c r="M24" s="1"/>
      <c r="N24" s="63"/>
      <c r="O24" s="101"/>
      <c r="P24" s="101"/>
      <c r="Q24" s="101"/>
      <c r="R24" s="101"/>
      <c r="S24" s="165" t="s">
        <v>72</v>
      </c>
      <c r="T24" s="167"/>
      <c r="U24" s="105" t="str">
        <f>C88</f>
        <v>SM</v>
      </c>
      <c r="V24" s="112">
        <f>K88</f>
        <v>2.4999999999999991</v>
      </c>
      <c r="W24" s="101"/>
      <c r="X24" s="101"/>
      <c r="Y24" s="101"/>
      <c r="Z24" s="101"/>
      <c r="AA24" s="101"/>
      <c r="AB24" s="52"/>
    </row>
    <row r="25" spans="1:28" ht="21.75" thickBot="1" x14ac:dyDescent="0.3">
      <c r="C25" s="1" t="s">
        <v>31</v>
      </c>
      <c r="D25" s="14">
        <v>1.47</v>
      </c>
      <c r="E25" s="14">
        <v>0.67</v>
      </c>
      <c r="F25" s="14">
        <v>83.72</v>
      </c>
      <c r="G25" s="1"/>
      <c r="H25" s="1"/>
      <c r="I25" s="1" t="str">
        <f t="shared" si="1"/>
        <v>Fe2O3</v>
      </c>
      <c r="J25" s="9">
        <f t="shared" si="2"/>
        <v>1.47</v>
      </c>
      <c r="K25" s="9">
        <f t="shared" si="3"/>
        <v>0.67</v>
      </c>
      <c r="L25" s="9">
        <f t="shared" si="4"/>
        <v>83.72</v>
      </c>
      <c r="M25" s="1"/>
      <c r="N25" s="63"/>
      <c r="O25" s="101"/>
      <c r="P25" s="101"/>
      <c r="Q25" s="101"/>
      <c r="R25" s="101"/>
      <c r="S25" s="169" t="s">
        <v>74</v>
      </c>
      <c r="T25" s="171"/>
      <c r="U25" s="107" t="str">
        <f>C89</f>
        <v>TM</v>
      </c>
      <c r="V25" s="113">
        <f>K89</f>
        <v>1.0192221917224682</v>
      </c>
      <c r="W25" s="101"/>
      <c r="X25" s="101"/>
      <c r="Y25" s="101"/>
      <c r="Z25" s="101"/>
      <c r="AA25" s="101"/>
      <c r="AB25" s="52"/>
    </row>
    <row r="26" spans="1:28" ht="21" x14ac:dyDescent="0.25">
      <c r="A26" s="1"/>
      <c r="B26" s="1"/>
      <c r="C26" s="1" t="s">
        <v>30</v>
      </c>
      <c r="D26" s="14">
        <v>49.8</v>
      </c>
      <c r="E26" s="14">
        <v>42.09</v>
      </c>
      <c r="F26" s="14">
        <v>0.87</v>
      </c>
      <c r="G26" s="1"/>
      <c r="H26" s="1"/>
      <c r="I26" s="1" t="str">
        <f t="shared" si="1"/>
        <v>CaO</v>
      </c>
      <c r="J26" s="9">
        <f t="shared" si="2"/>
        <v>49.8</v>
      </c>
      <c r="K26" s="9">
        <f t="shared" si="3"/>
        <v>42.09</v>
      </c>
      <c r="L26" s="9">
        <f t="shared" si="4"/>
        <v>0.87</v>
      </c>
      <c r="M26" s="1"/>
      <c r="N26" s="63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52"/>
    </row>
    <row r="27" spans="1:28" ht="21" x14ac:dyDescent="0.25">
      <c r="A27" s="1"/>
      <c r="B27" s="1"/>
      <c r="C27" s="1" t="s">
        <v>29</v>
      </c>
      <c r="D27" s="14">
        <v>1.48</v>
      </c>
      <c r="E27" s="14">
        <v>7.36</v>
      </c>
      <c r="F27" s="14">
        <v>0.64</v>
      </c>
      <c r="G27" s="1"/>
      <c r="H27" s="1"/>
      <c r="I27" s="1" t="str">
        <f t="shared" si="1"/>
        <v>MgO</v>
      </c>
      <c r="J27" s="9">
        <f t="shared" si="2"/>
        <v>1.48</v>
      </c>
      <c r="K27" s="9">
        <f t="shared" si="3"/>
        <v>7.36</v>
      </c>
      <c r="L27" s="9">
        <f t="shared" si="4"/>
        <v>0.64</v>
      </c>
      <c r="M27" s="1"/>
      <c r="N27" s="63"/>
      <c r="O27" s="168" t="s">
        <v>75</v>
      </c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52"/>
    </row>
    <row r="28" spans="1:28" ht="21.75" thickBot="1" x14ac:dyDescent="0.3">
      <c r="A28" s="1"/>
      <c r="B28" s="1"/>
      <c r="C28" s="1" t="s">
        <v>28</v>
      </c>
      <c r="D28" s="14">
        <v>0.1</v>
      </c>
      <c r="E28" s="14">
        <v>0.7</v>
      </c>
      <c r="F28" s="14">
        <v>1.36</v>
      </c>
      <c r="G28" s="1"/>
      <c r="H28" s="1"/>
      <c r="I28" s="1" t="str">
        <f t="shared" si="1"/>
        <v>SO3</v>
      </c>
      <c r="J28" s="9">
        <f t="shared" si="2"/>
        <v>0.1</v>
      </c>
      <c r="K28" s="9">
        <f t="shared" si="3"/>
        <v>0.7</v>
      </c>
      <c r="L28" s="9">
        <f t="shared" si="4"/>
        <v>1.36</v>
      </c>
      <c r="N28" s="63"/>
      <c r="O28" s="101"/>
      <c r="P28" s="101"/>
      <c r="Q28" s="101"/>
      <c r="R28" s="101"/>
      <c r="S28" s="101"/>
      <c r="T28" s="101"/>
      <c r="U28" s="101"/>
      <c r="V28" s="101"/>
      <c r="W28" s="101"/>
      <c r="X28" s="114"/>
      <c r="Y28" s="101"/>
      <c r="Z28" s="101"/>
      <c r="AA28" s="101"/>
      <c r="AB28" s="52"/>
    </row>
    <row r="29" spans="1:28" ht="21" x14ac:dyDescent="0.25">
      <c r="A29" s="1"/>
      <c r="B29" s="1"/>
      <c r="C29" s="1" t="s">
        <v>27</v>
      </c>
      <c r="D29" s="14">
        <v>39.65</v>
      </c>
      <c r="E29" s="14">
        <v>0</v>
      </c>
      <c r="F29" s="14">
        <v>0.63</v>
      </c>
      <c r="G29" s="1"/>
      <c r="H29" s="1"/>
      <c r="I29" s="1" t="str">
        <f t="shared" si="1"/>
        <v>P.C.</v>
      </c>
      <c r="J29" s="9">
        <f t="shared" si="2"/>
        <v>39.65</v>
      </c>
      <c r="K29" s="9">
        <f t="shared" si="3"/>
        <v>0</v>
      </c>
      <c r="L29" s="9">
        <f t="shared" si="4"/>
        <v>0.63</v>
      </c>
      <c r="N29" s="63"/>
      <c r="O29" s="101"/>
      <c r="P29" s="101"/>
      <c r="Q29" s="101"/>
      <c r="R29" s="162" t="s">
        <v>76</v>
      </c>
      <c r="S29" s="163"/>
      <c r="T29" s="163"/>
      <c r="U29" s="164"/>
      <c r="V29" s="103" t="str">
        <f>C98</f>
        <v>KSK</v>
      </c>
      <c r="W29" s="111">
        <f>K98</f>
        <v>0.9</v>
      </c>
      <c r="X29" s="101"/>
      <c r="Y29" s="101"/>
      <c r="Z29" s="101"/>
      <c r="AA29" s="101"/>
      <c r="AB29" s="52"/>
    </row>
    <row r="30" spans="1:28" ht="21" x14ac:dyDescent="0.25">
      <c r="A30" s="1"/>
      <c r="B30" s="1"/>
      <c r="C30" s="1" t="s">
        <v>26</v>
      </c>
      <c r="D30" s="14">
        <v>0.04</v>
      </c>
      <c r="E30" s="14">
        <v>0.06</v>
      </c>
      <c r="F30" s="14">
        <v>0</v>
      </c>
      <c r="G30" s="1"/>
      <c r="H30" s="1"/>
      <c r="I30" s="1" t="str">
        <f t="shared" si="1"/>
        <v>Resto</v>
      </c>
      <c r="J30" s="9">
        <f t="shared" si="2"/>
        <v>0.04</v>
      </c>
      <c r="K30" s="9">
        <f t="shared" si="3"/>
        <v>0.06</v>
      </c>
      <c r="L30" s="9">
        <f t="shared" si="4"/>
        <v>0</v>
      </c>
      <c r="N30" s="63"/>
      <c r="O30" s="101"/>
      <c r="P30" s="101"/>
      <c r="Q30" s="101"/>
      <c r="R30" s="165" t="s">
        <v>77</v>
      </c>
      <c r="S30" s="166"/>
      <c r="T30" s="166"/>
      <c r="U30" s="167"/>
      <c r="V30" s="105" t="str">
        <f>C99</f>
        <v>KSt II</v>
      </c>
      <c r="W30" s="112">
        <f>K99</f>
        <v>0.9687649078125331</v>
      </c>
      <c r="X30" s="168" t="str">
        <f>IF(95&lt;W31*100,"PORTLAND  DE ALTA CALIDAD",IF(90&lt;W31*100,"PORTLAND NORMAL", ANALIZAR))</f>
        <v>PORTLAND NORMAL</v>
      </c>
      <c r="Y30" s="168"/>
      <c r="Z30" s="168"/>
      <c r="AA30" s="168"/>
      <c r="AB30" s="52"/>
    </row>
    <row r="31" spans="1:28" ht="21.75" thickBot="1" x14ac:dyDescent="0.3">
      <c r="A31" s="1"/>
      <c r="B31" s="1"/>
      <c r="C31" s="1" t="s">
        <v>25</v>
      </c>
      <c r="D31" s="14">
        <v>0</v>
      </c>
      <c r="E31" s="14">
        <v>0</v>
      </c>
      <c r="F31" s="14">
        <v>0</v>
      </c>
      <c r="G31" s="1"/>
      <c r="H31" s="1"/>
      <c r="I31" s="1" t="str">
        <f t="shared" si="1"/>
        <v>TiO2</v>
      </c>
      <c r="J31" s="9">
        <f t="shared" si="2"/>
        <v>0</v>
      </c>
      <c r="K31" s="9">
        <f t="shared" si="3"/>
        <v>0</v>
      </c>
      <c r="L31" s="9">
        <f t="shared" si="4"/>
        <v>0</v>
      </c>
      <c r="N31" s="63"/>
      <c r="O31" s="101"/>
      <c r="P31" s="101"/>
      <c r="Q31" s="101"/>
      <c r="R31" s="169" t="s">
        <v>78</v>
      </c>
      <c r="S31" s="170"/>
      <c r="T31" s="170"/>
      <c r="U31" s="171"/>
      <c r="V31" s="107" t="str">
        <f>C100</f>
        <v>LSF</v>
      </c>
      <c r="W31" s="113">
        <f>K100</f>
        <v>0.91751382906074841</v>
      </c>
      <c r="X31" s="168"/>
      <c r="Y31" s="168"/>
      <c r="Z31" s="168"/>
      <c r="AA31" s="168"/>
      <c r="AB31" s="52"/>
    </row>
    <row r="32" spans="1:28" ht="21" x14ac:dyDescent="0.25">
      <c r="A32" s="1"/>
      <c r="B32" s="1"/>
      <c r="C32" s="1" t="s">
        <v>24</v>
      </c>
      <c r="D32" s="14">
        <v>0</v>
      </c>
      <c r="E32" s="14">
        <v>0</v>
      </c>
      <c r="F32" s="14">
        <v>0</v>
      </c>
      <c r="G32" s="1"/>
      <c r="H32" s="1"/>
      <c r="I32" s="1" t="str">
        <f t="shared" si="1"/>
        <v>Mn2O3</v>
      </c>
      <c r="J32" s="9">
        <f t="shared" si="2"/>
        <v>0</v>
      </c>
      <c r="K32" s="9">
        <f t="shared" si="3"/>
        <v>0</v>
      </c>
      <c r="L32" s="9">
        <f t="shared" si="4"/>
        <v>0</v>
      </c>
      <c r="N32" s="63"/>
      <c r="O32" s="101"/>
      <c r="P32" s="101"/>
      <c r="Q32" s="101"/>
      <c r="R32" s="101"/>
      <c r="S32" s="101"/>
      <c r="T32" s="101"/>
      <c r="U32" s="101"/>
      <c r="V32" s="101"/>
      <c r="W32" s="101"/>
      <c r="X32" s="168"/>
      <c r="Y32" s="168"/>
      <c r="Z32" s="168"/>
      <c r="AA32" s="168"/>
      <c r="AB32" s="52"/>
    </row>
    <row r="33" spans="1:28" ht="21" x14ac:dyDescent="0.25">
      <c r="A33" s="71"/>
      <c r="B33" s="71"/>
      <c r="C33" s="1" t="s">
        <v>23</v>
      </c>
      <c r="D33" s="14">
        <v>0</v>
      </c>
      <c r="E33" s="14">
        <v>0</v>
      </c>
      <c r="F33" s="14">
        <v>0</v>
      </c>
      <c r="G33" s="1"/>
      <c r="H33" s="1"/>
      <c r="I33" s="1" t="str">
        <f t="shared" si="1"/>
        <v>Na2O</v>
      </c>
      <c r="J33" s="9">
        <f t="shared" si="2"/>
        <v>0</v>
      </c>
      <c r="K33" s="9">
        <f t="shared" si="3"/>
        <v>0</v>
      </c>
      <c r="L33" s="9">
        <f t="shared" si="4"/>
        <v>0</v>
      </c>
      <c r="N33" s="63"/>
      <c r="O33" s="168" t="s">
        <v>89</v>
      </c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76"/>
    </row>
    <row r="34" spans="1:28" ht="21.75" thickBot="1" x14ac:dyDescent="0.3">
      <c r="A34" s="71"/>
      <c r="B34" s="71"/>
      <c r="C34" s="1" t="s">
        <v>22</v>
      </c>
      <c r="D34" s="14">
        <v>0</v>
      </c>
      <c r="E34" s="14">
        <v>0</v>
      </c>
      <c r="F34" s="14">
        <v>0</v>
      </c>
      <c r="G34" s="1"/>
      <c r="H34" s="1"/>
      <c r="I34" s="1" t="str">
        <f t="shared" si="1"/>
        <v>K2O</v>
      </c>
      <c r="J34" s="9">
        <f t="shared" si="2"/>
        <v>0</v>
      </c>
      <c r="K34" s="9">
        <f t="shared" si="3"/>
        <v>0</v>
      </c>
      <c r="L34" s="9">
        <f t="shared" si="4"/>
        <v>0</v>
      </c>
      <c r="N34" s="63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76"/>
    </row>
    <row r="35" spans="1:28" ht="21.75" thickBot="1" x14ac:dyDescent="0.3">
      <c r="A35" s="71"/>
      <c r="B35" s="71"/>
      <c r="C35" s="1"/>
      <c r="D35" s="1"/>
      <c r="E35" s="1"/>
      <c r="F35" s="1"/>
      <c r="G35" s="1"/>
      <c r="H35" s="1"/>
      <c r="J35" s="1"/>
      <c r="K35" s="1"/>
      <c r="L35" s="1"/>
      <c r="N35" s="63"/>
      <c r="O35" s="101"/>
      <c r="P35" s="101"/>
      <c r="Q35" s="101"/>
      <c r="R35" s="101"/>
      <c r="S35" s="101"/>
      <c r="U35" s="146" t="s">
        <v>14</v>
      </c>
      <c r="V35" s="101"/>
      <c r="W35" s="101"/>
      <c r="X35" s="101"/>
      <c r="Y35" s="101"/>
      <c r="Z35" s="101"/>
      <c r="AA35" s="101"/>
      <c r="AB35" s="76"/>
    </row>
    <row r="36" spans="1:28" ht="21.75" thickBot="1" x14ac:dyDescent="0.3">
      <c r="A36" s="71"/>
      <c r="B36" s="71"/>
      <c r="C36" s="1" t="s">
        <v>21</v>
      </c>
      <c r="D36" s="13">
        <f>SUM(D23:D34)</f>
        <v>100</v>
      </c>
      <c r="E36" s="13">
        <f>SUM(E23:E34)</f>
        <v>100.00000000000001</v>
      </c>
      <c r="F36" s="13">
        <f>SUM(F23:F34)</f>
        <v>100</v>
      </c>
      <c r="G36" s="1"/>
      <c r="H36" s="1"/>
      <c r="I36" s="71" t="s">
        <v>21</v>
      </c>
      <c r="J36" s="13">
        <f>SUM(J23:J34)</f>
        <v>100</v>
      </c>
      <c r="K36" s="13">
        <f>SUM(K23:K34)</f>
        <v>100.00000000000001</v>
      </c>
      <c r="L36" s="13">
        <f>SUM(L23:L34)</f>
        <v>100</v>
      </c>
      <c r="N36" s="63"/>
      <c r="O36" s="101"/>
      <c r="P36" s="101"/>
      <c r="Q36" s="101"/>
      <c r="R36" s="101"/>
      <c r="S36" s="101"/>
      <c r="T36" s="119" t="s">
        <v>88</v>
      </c>
      <c r="U36" s="121">
        <f>M76*100</f>
        <v>-60.633118780298304</v>
      </c>
      <c r="V36" s="101"/>
      <c r="W36" s="101"/>
      <c r="X36" s="101"/>
      <c r="Y36" s="101"/>
      <c r="Z36" s="101"/>
      <c r="AA36" s="101"/>
      <c r="AB36" s="76"/>
    </row>
    <row r="37" spans="1:28" ht="21" x14ac:dyDescent="0.25">
      <c r="A37" s="1"/>
      <c r="B37" s="1"/>
      <c r="D37" s="153" t="str">
        <f>IF(D36=100,"OK","CORREGIR")</f>
        <v>OK</v>
      </c>
      <c r="E37" s="153" t="str">
        <f>IF(E36=100,"OK","CORREGIR")</f>
        <v>OK</v>
      </c>
      <c r="F37" s="153" t="str">
        <f>IF(F36=100,"OK","CORREGIR")</f>
        <v>OK</v>
      </c>
      <c r="N37" s="63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52"/>
    </row>
    <row r="38" spans="1:28" ht="21.75" thickBot="1" x14ac:dyDescent="0.3">
      <c r="A38" s="1"/>
      <c r="B38" s="1"/>
      <c r="N38" s="67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53"/>
    </row>
    <row r="39" spans="1:28" x14ac:dyDescent="0.25">
      <c r="A39" s="1"/>
      <c r="B39" s="1"/>
      <c r="N39" s="1"/>
      <c r="O39" s="1"/>
    </row>
    <row r="40" spans="1:28" x14ac:dyDescent="0.25">
      <c r="A40" s="1"/>
      <c r="B40" s="1"/>
      <c r="N40" s="1"/>
      <c r="O40" s="1"/>
    </row>
    <row r="41" spans="1:28" ht="15" customHeight="1" x14ac:dyDescent="0.25">
      <c r="A41" s="12"/>
      <c r="B41" s="1"/>
      <c r="C41" s="1"/>
      <c r="D41" s="1"/>
      <c r="E41" s="1"/>
      <c r="F41" s="1"/>
      <c r="G41" s="1"/>
      <c r="H41" s="1"/>
      <c r="I41" s="1"/>
      <c r="N41" s="1"/>
      <c r="O41" s="1"/>
    </row>
    <row r="42" spans="1:28" hidden="1" x14ac:dyDescent="0.25">
      <c r="A42" s="12"/>
      <c r="C42" s="1" t="s">
        <v>12</v>
      </c>
      <c r="D42" s="10">
        <f>($D$16*(J23+J24+J25)-J26)</f>
        <v>-41.762999999999998</v>
      </c>
      <c r="E42" s="10">
        <f>($D$16*(K23+K24+K25)-K26)</f>
        <v>2.7210000000000036</v>
      </c>
      <c r="F42" s="10">
        <f>($D$16*(L23+L24+L25)-L26)</f>
        <v>85.98</v>
      </c>
      <c r="G42" s="1"/>
      <c r="I42" s="1" t="s">
        <v>12</v>
      </c>
      <c r="J42" s="10">
        <f>($D$17*(J23+J24+J25)-J26)</f>
        <v>-27.474999999999998</v>
      </c>
      <c r="K42" s="10">
        <f>($D$17*(K23+K24+K25)-K26)</f>
        <v>82.385000000000019</v>
      </c>
      <c r="L42" s="10">
        <f>($D$17*(L23+L24+L25)-L26)</f>
        <v>240.38</v>
      </c>
      <c r="M42" s="1"/>
      <c r="O42" s="1"/>
    </row>
    <row r="43" spans="1:28" hidden="1" x14ac:dyDescent="0.25">
      <c r="A43" s="12"/>
      <c r="C43" s="1" t="s">
        <v>11</v>
      </c>
      <c r="D43" s="10">
        <f>($D$16*(J24+J25)-J23)</f>
        <v>-4.7880000000000003</v>
      </c>
      <c r="E43" s="10">
        <f>($D$16*(K24+K25)-K23)</f>
        <v>-30.144000000000002</v>
      </c>
      <c r="F43" s="10">
        <f>($D$16*(L24+L25)-L23)</f>
        <v>65.550999999999988</v>
      </c>
      <c r="G43" s="1"/>
      <c r="I43" s="1" t="s">
        <v>11</v>
      </c>
      <c r="J43" s="10">
        <f>($D$17*(J24+J25)-J23)</f>
        <v>-1.3000000000000007</v>
      </c>
      <c r="K43" s="10">
        <f>($D$17*(K24+K25)-K23)</f>
        <v>-13.600000000000001</v>
      </c>
      <c r="L43" s="10">
        <f>($D$17*(L24+L25)-L23)</f>
        <v>202.01499999999996</v>
      </c>
      <c r="M43" s="1"/>
      <c r="O43" s="1"/>
    </row>
    <row r="44" spans="1:28" hidden="1" x14ac:dyDescent="0.25">
      <c r="A44" s="12"/>
      <c r="C44" s="1" t="s">
        <v>9</v>
      </c>
      <c r="D44" s="10">
        <f t="shared" ref="D44:F45" si="5">$D$16*J24-J23</f>
        <v>-6.1109999999999998</v>
      </c>
      <c r="E44" s="10">
        <f t="shared" si="5"/>
        <v>-30.747000000000003</v>
      </c>
      <c r="F44" s="10">
        <f t="shared" si="5"/>
        <v>-9.7970000000000006</v>
      </c>
      <c r="G44" s="1"/>
      <c r="I44" s="1" t="s">
        <v>9</v>
      </c>
      <c r="J44" s="10">
        <f t="shared" ref="J44:L45" si="6">$D$17*J24-J23</f>
        <v>-4.9749999999999996</v>
      </c>
      <c r="K44" s="10">
        <f t="shared" si="6"/>
        <v>-15.275000000000002</v>
      </c>
      <c r="L44" s="10">
        <f t="shared" si="6"/>
        <v>-7.2850000000000001</v>
      </c>
      <c r="M44" s="1"/>
      <c r="O44" s="1"/>
    </row>
    <row r="45" spans="1:28" hidden="1" x14ac:dyDescent="0.25">
      <c r="A45" s="12"/>
      <c r="C45" s="1" t="s">
        <v>10</v>
      </c>
      <c r="D45" s="10">
        <f t="shared" si="5"/>
        <v>0.61299999999999999</v>
      </c>
      <c r="E45" s="10">
        <f t="shared" si="5"/>
        <v>-9.0670000000000002</v>
      </c>
      <c r="F45" s="10">
        <f t="shared" si="5"/>
        <v>73.778000000000006</v>
      </c>
      <c r="G45" s="10"/>
      <c r="I45" s="1" t="s">
        <v>10</v>
      </c>
      <c r="J45" s="10">
        <f t="shared" si="6"/>
        <v>2.9649999999999999</v>
      </c>
      <c r="K45" s="10">
        <f t="shared" si="6"/>
        <v>-7.9950000000000001</v>
      </c>
      <c r="L45" s="10">
        <f t="shared" si="6"/>
        <v>207.73000000000002</v>
      </c>
      <c r="M45" s="1"/>
      <c r="O45" s="1"/>
    </row>
    <row r="46" spans="1:28" hidden="1" x14ac:dyDescent="0.25">
      <c r="A46" s="12"/>
      <c r="C46" s="1" t="s">
        <v>7</v>
      </c>
      <c r="D46" s="10">
        <f>2.8*$D$16*J23+1.65*J24+0.35*J25-J26</f>
        <v>-31.103999999999999</v>
      </c>
      <c r="E46" s="10">
        <f>2.8*$D$16*K23+1.65*K24+0.35*K25-K26</f>
        <v>73.513999999999996</v>
      </c>
      <c r="F46" s="10">
        <f>2.8*$D$16*L23+1.65*L24+0.35*L25-L26</f>
        <v>59.271700000000003</v>
      </c>
      <c r="G46" s="10"/>
      <c r="I46" s="1" t="s">
        <v>7</v>
      </c>
      <c r="J46" s="10">
        <f>2.8*$D$17*J23+1.65*J24+0.35*J25-J26</f>
        <v>-0.86399999999999721</v>
      </c>
      <c r="K46" s="10">
        <f>2.8*$D$17*K23+1.65*K24+0.35*K25-K26</f>
        <v>250.25000000000003</v>
      </c>
      <c r="L46" s="10">
        <f>2.8*$D$17*L23+1.65*L24+0.35*L25-L26</f>
        <v>109.49249999999999</v>
      </c>
      <c r="M46" s="1"/>
      <c r="O46" s="1"/>
    </row>
    <row r="47" spans="1:28" hidden="1" x14ac:dyDescent="0.25">
      <c r="A47" s="12"/>
      <c r="C47" s="1" t="s">
        <v>6</v>
      </c>
      <c r="D47" s="10">
        <f>$D$16*(2.8*J23+1.65*J24+0.35*J25)-J26</f>
        <v>-31.272599999999997</v>
      </c>
      <c r="E47" s="10">
        <f>$D$16*(2.8*K23+1.65*K24+0.35*K25)-K26</f>
        <v>71.89500000000001</v>
      </c>
      <c r="F47" s="10">
        <f>$D$16*(2.8*L23+1.65*L24+0.35*L25)-L26</f>
        <v>56.082450000000009</v>
      </c>
      <c r="G47" s="10"/>
      <c r="I47" s="1" t="s">
        <v>6</v>
      </c>
      <c r="J47" s="10">
        <f>$D$17*(2.8*J23+1.65*J24+0.35*J25)-J26</f>
        <v>1.6649999999999991</v>
      </c>
      <c r="K47" s="10">
        <f>$D$17*(2.8*K23+1.65*K24+0.35*K25)-K26</f>
        <v>274.53499999999997</v>
      </c>
      <c r="L47" s="10">
        <f>$D$17*(2.8*L23+1.65*L24+0.35*L25)-L26</f>
        <v>157.33125000000001</v>
      </c>
      <c r="M47" s="1"/>
      <c r="O47" s="1"/>
    </row>
    <row r="48" spans="1:28" hidden="1" x14ac:dyDescent="0.25">
      <c r="A48" s="12"/>
      <c r="C48" s="1" t="s">
        <v>5</v>
      </c>
      <c r="D48" s="10">
        <f>$D$16*(2.8*J23+1.1*J24+0.7*J25)-J26</f>
        <v>-31.160999999999998</v>
      </c>
      <c r="E48" s="10">
        <f>$D$16*(2.8*K23+1.1*K24+0.7*K25)-K26</f>
        <v>67.319400000000002</v>
      </c>
      <c r="F48" s="10">
        <f>$D$16*(2.8*L23+1.1*L24+0.7*L25)-L26</f>
        <v>81.677099999999996</v>
      </c>
      <c r="G48" s="10"/>
      <c r="I48" s="1" t="s">
        <v>5</v>
      </c>
      <c r="J48" s="10">
        <f>$D$17*(2.8*J23+1.1*J24+0.7*J25)-J26</f>
        <v>1.9749999999999943</v>
      </c>
      <c r="K48" s="10">
        <f>$D$17*(2.8*K23+1.1*K24+0.7*K25)-K26</f>
        <v>261.82500000000005</v>
      </c>
      <c r="L48" s="10">
        <f>$D$17*(2.8*L23+1.1*L24+0.7*L25)-L26</f>
        <v>228.42749999999998</v>
      </c>
      <c r="M48" s="1"/>
      <c r="O48" s="1"/>
    </row>
    <row r="49" spans="1:15" hidden="1" x14ac:dyDescent="0.25">
      <c r="A49" s="12"/>
      <c r="C49" s="1" t="s">
        <v>4</v>
      </c>
      <c r="D49" s="10">
        <f>$D$16*(2.8*J23+1.18*J24+0.65*J25)-J26</f>
        <v>-31.176029999999997</v>
      </c>
      <c r="E49" s="10">
        <f>$D$16*(2.8*K23+1.18*K24+0.65*K25)-K26</f>
        <v>67.985490000000013</v>
      </c>
      <c r="F49" s="10">
        <f>$D$16*(2.8*L23+1.18*L24+0.65*L25)-L26</f>
        <v>78.022739999999999</v>
      </c>
      <c r="G49" s="10"/>
      <c r="I49" s="1" t="s">
        <v>4</v>
      </c>
      <c r="J49" s="10">
        <f>$D$17*(2.8*J23+1.18*J24+0.65*J25)-J26</f>
        <v>1.933250000000001</v>
      </c>
      <c r="K49" s="10">
        <f>$D$17*(2.8*K23+1.18*K24+0.65*K25)-K26</f>
        <v>263.67525000000001</v>
      </c>
      <c r="L49" s="10">
        <f>$D$17*(2.8*L23+1.18*L24+0.65*L25)-L26</f>
        <v>218.2765</v>
      </c>
      <c r="M49" s="1"/>
      <c r="O49" s="1"/>
    </row>
    <row r="50" spans="1:15" hidden="1" x14ac:dyDescent="0.25">
      <c r="A50" s="12"/>
      <c r="C50" s="1" t="s">
        <v>3</v>
      </c>
      <c r="D50" s="10">
        <f>$D$16*(2.8*J23+1.1*J24+0.7*J25)-J26-0.75*J27</f>
        <v>-32.271000000000001</v>
      </c>
      <c r="E50" s="10">
        <f>$D$16*(2.8*K23+1.1*K24+0.7*K25)-K26-0.75*K27</f>
        <v>61.799399999999999</v>
      </c>
      <c r="F50" s="10">
        <f>$D$16*(2.8*L23+1.1*L24+0.7*L25)-L26-0.75*L27</f>
        <v>81.197099999999992</v>
      </c>
      <c r="G50" s="10"/>
      <c r="I50" s="1" t="s">
        <v>3</v>
      </c>
      <c r="J50" s="10">
        <f>$D$17*(2.8*J23+1.1*J24+0.7*J25)-J26-0.75*J27</f>
        <v>0.86499999999999444</v>
      </c>
      <c r="K50" s="10">
        <f>$D$17*(2.8*K23+1.1*K24+0.7*K25)-K26-0.75*K27</f>
        <v>256.30500000000006</v>
      </c>
      <c r="L50" s="10">
        <f>$D$17*(2.8*L23+1.1*L24+0.7*L25)-L26-0.75*L27</f>
        <v>227.94749999999999</v>
      </c>
      <c r="M50" s="1"/>
      <c r="O50" s="1"/>
    </row>
    <row r="51" spans="1:15" hidden="1" x14ac:dyDescent="0.25">
      <c r="A51" s="12"/>
      <c r="C51" s="1" t="s">
        <v>2</v>
      </c>
      <c r="D51" s="10">
        <f>$D$16*(2.8*J23+1.2*J24+0.65*J25)-J26+0.7*J28</f>
        <v>-31.093249999999998</v>
      </c>
      <c r="E51" s="10">
        <f>$D$16*(2.8*K23+1.2*K24+0.65*K25)-K26+0.7*K28</f>
        <v>68.649550000000005</v>
      </c>
      <c r="F51" s="10">
        <f>$D$16*(2.8*L23+1.2*L24+0.65*L25)-L26+0.7*L28</f>
        <v>79.003</v>
      </c>
      <c r="G51" s="10"/>
      <c r="I51" s="1" t="s">
        <v>2</v>
      </c>
      <c r="J51" s="10">
        <f>$D$17*(2.8*J23+1.2*J24+0.65*J25)-J26+0.7*J28</f>
        <v>2.0387499999999998</v>
      </c>
      <c r="K51" s="10">
        <f>$D$17*(2.8*K23+1.2*K24+0.65*K25)-K26+0.7*K28</f>
        <v>264.64875000000006</v>
      </c>
      <c r="L51" s="10">
        <f>$D$17*(2.8*L23+1.2*L24+0.65*L25)-L26+0.7*L28</f>
        <v>219.30699999999999</v>
      </c>
      <c r="M51" s="1"/>
      <c r="O51" s="1"/>
    </row>
    <row r="52" spans="1:15" hidden="1" x14ac:dyDescent="0.25">
      <c r="A52" s="12"/>
      <c r="B52" s="1"/>
      <c r="C52" s="1"/>
      <c r="D52" s="10"/>
      <c r="E52" s="10"/>
      <c r="F52" s="10"/>
      <c r="G52" s="10"/>
      <c r="H52" s="1"/>
      <c r="I52" s="1"/>
      <c r="J52" s="10"/>
      <c r="K52" s="10"/>
      <c r="L52" s="10"/>
      <c r="M52" s="1"/>
      <c r="O52" s="1"/>
    </row>
    <row r="53" spans="1:15" hidden="1" x14ac:dyDescent="0.25">
      <c r="A53" s="12"/>
      <c r="B53" s="1"/>
      <c r="C53" s="1"/>
      <c r="D53" s="10" t="str">
        <f t="shared" ref="D53:F54" si="7">D21</f>
        <v>M.P. 1</v>
      </c>
      <c r="E53" s="10" t="str">
        <f t="shared" si="7"/>
        <v>M.P.2</v>
      </c>
      <c r="F53" s="10" t="str">
        <f t="shared" si="7"/>
        <v>M.P. 3</v>
      </c>
      <c r="G53" s="10"/>
      <c r="H53" s="1"/>
      <c r="I53" s="1"/>
      <c r="J53" s="10"/>
      <c r="K53" s="10"/>
      <c r="L53" s="10"/>
      <c r="M53" s="1"/>
      <c r="O53" s="1"/>
    </row>
    <row r="54" spans="1:15" hidden="1" x14ac:dyDescent="0.25">
      <c r="A54" s="12"/>
      <c r="B54" s="1"/>
      <c r="C54" s="1"/>
      <c r="D54" s="10" t="str">
        <f t="shared" si="7"/>
        <v>CALIZA</v>
      </c>
      <c r="E54" s="10" t="str">
        <f t="shared" si="7"/>
        <v>ESCORIAS DE HORNO ALTO</v>
      </c>
      <c r="F54" s="10" t="str">
        <f t="shared" si="7"/>
        <v>CENIZAS DE PIRITA</v>
      </c>
      <c r="G54" s="10"/>
      <c r="H54" s="1"/>
      <c r="I54" s="1"/>
      <c r="J54" s="10"/>
      <c r="K54" s="10"/>
      <c r="L54" s="10"/>
      <c r="M54" s="1"/>
      <c r="O54" s="1"/>
    </row>
    <row r="55" spans="1:15" hidden="1" x14ac:dyDescent="0.25">
      <c r="A55" s="12"/>
      <c r="B55" s="1"/>
      <c r="C55" s="1" t="str">
        <f>C16</f>
        <v>KSK</v>
      </c>
      <c r="D55" s="10">
        <f>VLOOKUP(C55,C42:F51,2,FALSE)</f>
        <v>-31.103999999999999</v>
      </c>
      <c r="E55" s="10">
        <f>VLOOKUP(C55,C42:F51,3,FALSE)</f>
        <v>73.513999999999996</v>
      </c>
      <c r="F55">
        <f>VLOOKUP(C55,C42:F51,4,FALSE)</f>
        <v>59.271700000000003</v>
      </c>
      <c r="G55" s="10" t="s">
        <v>20</v>
      </c>
      <c r="H55" s="10">
        <v>0</v>
      </c>
      <c r="I55" s="1"/>
      <c r="J55" s="10"/>
      <c r="K55" s="10"/>
      <c r="L55" s="10"/>
      <c r="M55" s="1"/>
      <c r="O55" s="1"/>
    </row>
    <row r="56" spans="1:15" hidden="1" x14ac:dyDescent="0.25">
      <c r="A56" s="12"/>
      <c r="B56" s="1"/>
      <c r="C56" s="1" t="str">
        <f>C17</f>
        <v>SM</v>
      </c>
      <c r="D56" s="10">
        <f>VLOOKUP(C56,I42:L51,2,FALSE)</f>
        <v>-1.3000000000000007</v>
      </c>
      <c r="E56" s="10">
        <f>VLOOKUP(C56,I42:L51,3,FALSE)</f>
        <v>-13.600000000000001</v>
      </c>
      <c r="F56" s="10">
        <f>VLOOKUP(C56,I42:L51,4,FALSE)</f>
        <v>202.01499999999996</v>
      </c>
      <c r="G56" s="10" t="s">
        <v>18</v>
      </c>
      <c r="H56" s="10">
        <v>0</v>
      </c>
      <c r="I56" s="1"/>
      <c r="J56" s="10"/>
      <c r="K56" s="10"/>
      <c r="L56" s="10"/>
      <c r="M56" s="1"/>
      <c r="O56" s="1"/>
    </row>
    <row r="57" spans="1:15" hidden="1" x14ac:dyDescent="0.25">
      <c r="A57" s="12"/>
      <c r="B57" s="1"/>
      <c r="C57" s="1" t="s">
        <v>19</v>
      </c>
      <c r="D57" s="10">
        <v>1</v>
      </c>
      <c r="E57" s="10">
        <v>1</v>
      </c>
      <c r="F57">
        <v>1</v>
      </c>
      <c r="G57" s="10" t="s">
        <v>53</v>
      </c>
      <c r="H57" s="10">
        <v>1</v>
      </c>
      <c r="I57" s="1"/>
      <c r="J57" s="10"/>
      <c r="K57" s="10"/>
      <c r="L57" s="10"/>
      <c r="M57" s="1"/>
      <c r="O57" s="1"/>
    </row>
    <row r="58" spans="1:15" x14ac:dyDescent="0.25">
      <c r="A58" s="12"/>
      <c r="B58" s="1"/>
      <c r="C58" s="1"/>
      <c r="D58" s="10"/>
      <c r="E58" s="10"/>
      <c r="F58" s="10"/>
      <c r="G58" s="10"/>
      <c r="H58" s="1"/>
      <c r="I58" s="1"/>
      <c r="J58" s="10"/>
      <c r="K58" s="10"/>
      <c r="L58" s="10"/>
      <c r="M58" s="1"/>
      <c r="O58" s="1"/>
    </row>
    <row r="59" spans="1:15" x14ac:dyDescent="0.25">
      <c r="A59" s="1"/>
      <c r="B59" s="1"/>
      <c r="C59" s="1"/>
      <c r="D59" s="10"/>
      <c r="E59" s="10"/>
      <c r="F59" s="10"/>
      <c r="G59" s="10"/>
      <c r="H59" s="1"/>
      <c r="I59" s="1"/>
      <c r="J59" s="10"/>
      <c r="K59" s="10"/>
      <c r="L59" s="10"/>
      <c r="M59" s="1"/>
      <c r="O59" s="1"/>
    </row>
    <row r="60" spans="1:15" x14ac:dyDescent="0.25">
      <c r="A60" s="1"/>
      <c r="B60" s="1"/>
      <c r="C60" s="1"/>
      <c r="D60" s="10"/>
      <c r="E60" s="10"/>
      <c r="F60" s="10"/>
      <c r="G60" s="10"/>
      <c r="H60" s="1"/>
      <c r="I60" s="1"/>
      <c r="J60" s="10"/>
      <c r="K60" s="10"/>
      <c r="L60" s="10"/>
      <c r="M60" s="1"/>
      <c r="O60" s="1"/>
    </row>
    <row r="61" spans="1:15" x14ac:dyDescent="0.25">
      <c r="A61" s="66"/>
      <c r="B61" s="1"/>
      <c r="C61" s="1"/>
      <c r="D61" s="10"/>
      <c r="E61" s="10"/>
      <c r="F61" s="10"/>
      <c r="G61" s="10"/>
      <c r="H61" s="1"/>
      <c r="I61" s="1"/>
      <c r="J61" s="10"/>
      <c r="K61" s="10"/>
      <c r="L61" s="10"/>
      <c r="M61" s="1"/>
      <c r="O61" s="1"/>
    </row>
    <row r="62" spans="1:15" hidden="1" x14ac:dyDescent="0.25">
      <c r="A62" s="66"/>
      <c r="B62" s="1"/>
      <c r="C62" s="11" t="str">
        <f>G55</f>
        <v>X</v>
      </c>
      <c r="D62" s="3">
        <f t="array" ref="D62:D64">MMULT(MINVERSE(D55:F57),H55:H57)</f>
        <v>0.69953556419582241</v>
      </c>
      <c r="E62" s="10"/>
      <c r="F62" s="10"/>
      <c r="G62" s="10"/>
      <c r="H62" s="1"/>
      <c r="I62" s="1"/>
      <c r="J62" s="10"/>
      <c r="K62" s="10"/>
      <c r="L62" s="10"/>
      <c r="M62" s="1"/>
      <c r="O62" s="1"/>
    </row>
    <row r="63" spans="1:15" hidden="1" x14ac:dyDescent="0.25">
      <c r="A63" s="66"/>
      <c r="B63" s="1"/>
      <c r="C63" s="11" t="str">
        <f>G56</f>
        <v>Y</v>
      </c>
      <c r="D63" s="3">
        <v>0.27729483925295717</v>
      </c>
      <c r="J63" s="10"/>
      <c r="K63" s="10"/>
      <c r="L63" s="10"/>
      <c r="M63" s="1"/>
      <c r="O63" s="1"/>
    </row>
    <row r="64" spans="1:15" hidden="1" x14ac:dyDescent="0.25">
      <c r="A64" s="66"/>
      <c r="B64" s="1"/>
      <c r="C64" s="11" t="str">
        <f>G57</f>
        <v>Z</v>
      </c>
      <c r="D64" s="3">
        <v>2.31695965512204E-2</v>
      </c>
      <c r="J64" s="10"/>
      <c r="K64" s="10"/>
      <c r="L64" s="10"/>
      <c r="M64" s="1"/>
      <c r="O64" s="1"/>
    </row>
    <row r="65" spans="1:15" hidden="1" x14ac:dyDescent="0.25">
      <c r="A65" s="66"/>
      <c r="B65" s="1"/>
      <c r="C65" s="1"/>
      <c r="J65" s="10"/>
      <c r="K65" s="10"/>
      <c r="L65" s="10"/>
      <c r="M65" s="1"/>
      <c r="O65" s="1"/>
    </row>
    <row r="66" spans="1:15" hidden="1" x14ac:dyDescent="0.25">
      <c r="A66" s="66"/>
      <c r="B66" s="1"/>
      <c r="C66" s="10"/>
      <c r="D66" s="10"/>
      <c r="E66" s="1"/>
      <c r="F66" s="1"/>
      <c r="G66" s="1"/>
      <c r="H66" s="1"/>
      <c r="I66" s="1"/>
      <c r="N66" s="1"/>
      <c r="O66" s="1"/>
    </row>
    <row r="67" spans="1:15" ht="17.25" hidden="1" customHeight="1" x14ac:dyDescent="0.25">
      <c r="A67" s="66"/>
      <c r="B67" s="1"/>
      <c r="C67" s="1"/>
      <c r="D67" s="1" t="str">
        <f>D21</f>
        <v>M.P. 1</v>
      </c>
      <c r="E67" s="1" t="str">
        <f>E21</f>
        <v>M.P.2</v>
      </c>
      <c r="F67" s="1" t="s">
        <v>52</v>
      </c>
      <c r="G67" s="1"/>
      <c r="H67" s="1"/>
      <c r="I67" s="1"/>
      <c r="J67" s="1"/>
      <c r="K67" s="1"/>
      <c r="L67" s="1"/>
      <c r="M67" s="1"/>
      <c r="N67" s="1"/>
      <c r="O67" s="1"/>
    </row>
    <row r="68" spans="1:15" ht="11.25" hidden="1" customHeight="1" x14ac:dyDescent="0.25">
      <c r="A68" s="66"/>
      <c r="B68" s="1"/>
      <c r="C68" s="1"/>
      <c r="D68" s="1" t="str">
        <f>D22</f>
        <v>CALIZA</v>
      </c>
      <c r="E68" s="1" t="str">
        <f>E22</f>
        <v>ESCORIAS DE HORNO ALTO</v>
      </c>
      <c r="F68" s="1" t="str">
        <f>F22</f>
        <v>CENIZAS DE PIRITA</v>
      </c>
      <c r="G68" s="1" t="str">
        <f>D68</f>
        <v>CALIZA</v>
      </c>
      <c r="H68" s="1" t="str">
        <f>E68</f>
        <v>ESCORIAS DE HORNO ALTO</v>
      </c>
      <c r="I68" s="1" t="str">
        <f>F68</f>
        <v>CENIZAS DE PIRITA</v>
      </c>
      <c r="J68" s="1" t="s">
        <v>16</v>
      </c>
      <c r="K68" s="1" t="s">
        <v>15</v>
      </c>
      <c r="M68" s="1" t="s">
        <v>87</v>
      </c>
      <c r="N68" s="1"/>
      <c r="O68" s="1"/>
    </row>
    <row r="69" spans="1:15" hidden="1" x14ac:dyDescent="0.25">
      <c r="A69" s="66"/>
      <c r="B69" s="1"/>
      <c r="C69" s="1"/>
      <c r="D69" s="1"/>
      <c r="E69" s="1"/>
      <c r="F69" s="1"/>
      <c r="G69" s="2">
        <f>D62</f>
        <v>0.69953556419582241</v>
      </c>
      <c r="H69" s="2">
        <f>D63</f>
        <v>0.27729483925295717</v>
      </c>
      <c r="I69" s="2">
        <f>D64</f>
        <v>2.31695965512204E-2</v>
      </c>
      <c r="J69" s="1"/>
      <c r="K69" s="1"/>
      <c r="M69" s="1"/>
      <c r="N69" s="1"/>
      <c r="O69" s="1"/>
    </row>
    <row r="70" spans="1:15" hidden="1" x14ac:dyDescent="0.25">
      <c r="A70" s="66"/>
      <c r="B70" s="1"/>
      <c r="C70" s="1" t="str">
        <f t="shared" ref="C70:C81" si="8">I23</f>
        <v>SiO2</v>
      </c>
      <c r="D70" s="9">
        <f t="shared" ref="D70:D81" si="9">J23</f>
        <v>6.75</v>
      </c>
      <c r="E70" s="9">
        <f t="shared" ref="E70:E81" si="10">K23</f>
        <v>39.450000000000003</v>
      </c>
      <c r="F70" s="9">
        <f t="shared" ref="F70:F81" si="11">L23</f>
        <v>11.21</v>
      </c>
      <c r="G70" s="8">
        <f t="shared" ref="G70:G81" si="12">D70*$G$69</f>
        <v>4.7218650583218009</v>
      </c>
      <c r="H70" s="8">
        <f t="shared" ref="H70:H81" si="13">E70*$H$69</f>
        <v>10.939281408529162</v>
      </c>
      <c r="I70" s="8">
        <f t="shared" ref="I70:I81" si="14">F70*$I$69</f>
        <v>0.25973117733918072</v>
      </c>
      <c r="J70" s="4">
        <f t="shared" ref="J70:J81" si="15">H70+G70+I70</f>
        <v>15.920877644190142</v>
      </c>
      <c r="K70" s="3">
        <f t="shared" ref="K70:K81" si="16">IF(C70&lt;&gt;"P.C.",J70+((J70*$J$76)/(100-$J$76)),0)</f>
        <v>22.036177307066904</v>
      </c>
      <c r="L70" t="s">
        <v>84</v>
      </c>
      <c r="M70" s="1">
        <f>(K70-J70)/(F70-J70)</f>
        <v>-1.2981232213531748</v>
      </c>
      <c r="N70" s="1"/>
      <c r="O70" s="1"/>
    </row>
    <row r="71" spans="1:15" hidden="1" x14ac:dyDescent="0.25">
      <c r="A71" s="66"/>
      <c r="B71" s="1"/>
      <c r="C71" s="1" t="str">
        <f t="shared" si="8"/>
        <v>Al2O3</v>
      </c>
      <c r="D71" s="9">
        <f t="shared" si="9"/>
        <v>0.71</v>
      </c>
      <c r="E71" s="9">
        <f t="shared" si="10"/>
        <v>9.67</v>
      </c>
      <c r="F71" s="9">
        <f t="shared" si="11"/>
        <v>1.57</v>
      </c>
      <c r="G71" s="8">
        <f t="shared" si="12"/>
        <v>0.49667025057903391</v>
      </c>
      <c r="H71" s="8">
        <f t="shared" si="13"/>
        <v>2.6814410955760959</v>
      </c>
      <c r="I71" s="8">
        <f t="shared" si="14"/>
        <v>3.6376266585416032E-2</v>
      </c>
      <c r="J71" s="4">
        <f t="shared" si="15"/>
        <v>3.214487612740546</v>
      </c>
      <c r="K71" s="3">
        <f t="shared" si="16"/>
        <v>4.4491905891613994</v>
      </c>
      <c r="L71" t="s">
        <v>85</v>
      </c>
      <c r="M71" s="71">
        <f>(K71-J71)/(F71-J71)</f>
        <v>-0.75081318147676135</v>
      </c>
      <c r="N71" s="1"/>
      <c r="O71" s="1"/>
    </row>
    <row r="72" spans="1:15" hidden="1" x14ac:dyDescent="0.25">
      <c r="A72" s="66"/>
      <c r="B72" s="1"/>
      <c r="C72" s="1" t="str">
        <f t="shared" si="8"/>
        <v>Fe2O3</v>
      </c>
      <c r="D72" s="9">
        <f t="shared" si="9"/>
        <v>1.47</v>
      </c>
      <c r="E72" s="9">
        <f t="shared" si="10"/>
        <v>0.67</v>
      </c>
      <c r="F72" s="9">
        <f t="shared" si="11"/>
        <v>83.72</v>
      </c>
      <c r="G72" s="8">
        <f t="shared" si="12"/>
        <v>1.028317279367859</v>
      </c>
      <c r="H72" s="8">
        <f t="shared" si="13"/>
        <v>0.18578754229948133</v>
      </c>
      <c r="I72" s="8">
        <f t="shared" si="14"/>
        <v>1.9397586232681718</v>
      </c>
      <c r="J72" s="4">
        <f t="shared" si="15"/>
        <v>3.1538634449355119</v>
      </c>
      <c r="K72" s="3">
        <f t="shared" si="16"/>
        <v>4.3652803336653641</v>
      </c>
      <c r="L72" t="s">
        <v>86</v>
      </c>
      <c r="M72" s="71">
        <f>(K72-J72)/(F72-J72)</f>
        <v>1.5036303595144913E-2</v>
      </c>
      <c r="N72" s="1"/>
      <c r="O72" s="1"/>
    </row>
    <row r="73" spans="1:15" hidden="1" x14ac:dyDescent="0.25">
      <c r="A73" s="66"/>
      <c r="B73" s="1"/>
      <c r="C73" s="1" t="str">
        <f t="shared" si="8"/>
        <v>CaO</v>
      </c>
      <c r="D73" s="9">
        <f t="shared" si="9"/>
        <v>49.8</v>
      </c>
      <c r="E73" s="9">
        <f t="shared" si="10"/>
        <v>42.09</v>
      </c>
      <c r="F73" s="9">
        <f t="shared" si="11"/>
        <v>0.87</v>
      </c>
      <c r="G73" s="8">
        <f t="shared" si="12"/>
        <v>34.836871096951953</v>
      </c>
      <c r="H73" s="8">
        <f t="shared" si="13"/>
        <v>11.671339784156968</v>
      </c>
      <c r="I73" s="8">
        <f t="shared" si="14"/>
        <v>2.0157548999561747E-2</v>
      </c>
      <c r="J73" s="4">
        <f t="shared" si="15"/>
        <v>46.528368430108486</v>
      </c>
      <c r="K73" s="3">
        <f t="shared" si="16"/>
        <v>64.400179402707778</v>
      </c>
      <c r="L73" t="s">
        <v>83</v>
      </c>
      <c r="M73" s="71">
        <f>(K73-J73)/(F73-J73)</f>
        <v>-0.39142465197714088</v>
      </c>
      <c r="N73" s="1"/>
      <c r="O73" s="1"/>
    </row>
    <row r="74" spans="1:15" hidden="1" x14ac:dyDescent="0.25">
      <c r="A74" s="66"/>
      <c r="B74" s="1"/>
      <c r="C74" s="1" t="str">
        <f t="shared" si="8"/>
        <v>MgO</v>
      </c>
      <c r="D74" s="9">
        <f t="shared" si="9"/>
        <v>1.48</v>
      </c>
      <c r="E74" s="9">
        <f t="shared" si="10"/>
        <v>7.36</v>
      </c>
      <c r="F74" s="9">
        <f t="shared" si="11"/>
        <v>0.64</v>
      </c>
      <c r="G74" s="8">
        <f t="shared" si="12"/>
        <v>1.0353126350098172</v>
      </c>
      <c r="H74" s="8">
        <f t="shared" si="13"/>
        <v>2.040890016901765</v>
      </c>
      <c r="I74" s="8">
        <f t="shared" si="14"/>
        <v>1.4828541792781057E-2</v>
      </c>
      <c r="J74" s="4">
        <f t="shared" si="15"/>
        <v>3.0910311937043629</v>
      </c>
      <c r="K74" s="3">
        <f t="shared" si="16"/>
        <v>4.2783138573394162</v>
      </c>
      <c r="M74" s="1"/>
      <c r="N74" s="1"/>
      <c r="O74" s="1"/>
    </row>
    <row r="75" spans="1:15" hidden="1" x14ac:dyDescent="0.25">
      <c r="A75" s="66"/>
      <c r="B75" s="1"/>
      <c r="C75" s="1" t="str">
        <f t="shared" si="8"/>
        <v>SO3</v>
      </c>
      <c r="D75" s="9">
        <f t="shared" si="9"/>
        <v>0.1</v>
      </c>
      <c r="E75" s="9">
        <f t="shared" si="10"/>
        <v>0.7</v>
      </c>
      <c r="F75" s="9">
        <f t="shared" si="11"/>
        <v>1.36</v>
      </c>
      <c r="G75" s="8">
        <f t="shared" si="12"/>
        <v>6.9953556419582244E-2</v>
      </c>
      <c r="H75" s="8">
        <f t="shared" si="13"/>
        <v>0.19410638747707001</v>
      </c>
      <c r="I75" s="8">
        <f t="shared" si="14"/>
        <v>3.1510651309659743E-2</v>
      </c>
      <c r="J75" s="4">
        <f t="shared" si="15"/>
        <v>0.29557059520631201</v>
      </c>
      <c r="K75" s="3">
        <f t="shared" si="16"/>
        <v>0.40910094206385722</v>
      </c>
      <c r="M75" s="1" t="s">
        <v>88</v>
      </c>
      <c r="N75" s="1"/>
      <c r="O75" s="1"/>
    </row>
    <row r="76" spans="1:15" hidden="1" x14ac:dyDescent="0.25">
      <c r="A76" s="66"/>
      <c r="B76" s="1"/>
      <c r="C76" s="1" t="str">
        <f t="shared" si="8"/>
        <v>P.C.</v>
      </c>
      <c r="D76" s="9">
        <f t="shared" si="9"/>
        <v>39.65</v>
      </c>
      <c r="E76" s="9">
        <f t="shared" si="10"/>
        <v>0</v>
      </c>
      <c r="F76" s="9">
        <f t="shared" si="11"/>
        <v>0.63</v>
      </c>
      <c r="G76" s="8">
        <f t="shared" si="12"/>
        <v>27.736585120364357</v>
      </c>
      <c r="H76" s="8">
        <f t="shared" si="13"/>
        <v>0</v>
      </c>
      <c r="I76" s="8">
        <f t="shared" si="14"/>
        <v>1.4596845827268851E-2</v>
      </c>
      <c r="J76" s="4">
        <f t="shared" si="15"/>
        <v>27.751181966191627</v>
      </c>
      <c r="K76" s="3">
        <f t="shared" si="16"/>
        <v>0</v>
      </c>
      <c r="M76" s="1">
        <f>AVERAGE(M70:M73)</f>
        <v>-0.60633118780298301</v>
      </c>
      <c r="N76" s="1"/>
      <c r="O76" s="1"/>
    </row>
    <row r="77" spans="1:15" hidden="1" x14ac:dyDescent="0.25">
      <c r="A77" s="66"/>
      <c r="B77" s="1"/>
      <c r="C77" s="1" t="str">
        <f t="shared" si="8"/>
        <v>Resto</v>
      </c>
      <c r="D77" s="9">
        <f t="shared" si="9"/>
        <v>0.04</v>
      </c>
      <c r="E77" s="9">
        <f t="shared" si="10"/>
        <v>0.06</v>
      </c>
      <c r="F77" s="9">
        <f t="shared" si="11"/>
        <v>0</v>
      </c>
      <c r="G77" s="8">
        <f t="shared" si="12"/>
        <v>2.7981422567832898E-2</v>
      </c>
      <c r="H77" s="8">
        <f t="shared" si="13"/>
        <v>1.6637690355177429E-2</v>
      </c>
      <c r="I77" s="8">
        <f t="shared" si="14"/>
        <v>0</v>
      </c>
      <c r="J77" s="4">
        <f t="shared" si="15"/>
        <v>4.4619112923010323E-2</v>
      </c>
      <c r="K77" s="3">
        <f t="shared" si="16"/>
        <v>6.1757567995273079E-2</v>
      </c>
      <c r="M77" s="1"/>
      <c r="N77" s="1"/>
      <c r="O77" s="1"/>
    </row>
    <row r="78" spans="1:15" hidden="1" x14ac:dyDescent="0.25">
      <c r="A78" s="66"/>
      <c r="B78" s="1"/>
      <c r="C78" s="1" t="str">
        <f t="shared" si="8"/>
        <v>TiO2</v>
      </c>
      <c r="D78" s="9">
        <f t="shared" si="9"/>
        <v>0</v>
      </c>
      <c r="E78" s="9">
        <f t="shared" si="10"/>
        <v>0</v>
      </c>
      <c r="F78" s="9">
        <f t="shared" si="11"/>
        <v>0</v>
      </c>
      <c r="G78" s="8">
        <f t="shared" si="12"/>
        <v>0</v>
      </c>
      <c r="H78" s="8">
        <f t="shared" si="13"/>
        <v>0</v>
      </c>
      <c r="I78" s="8">
        <f t="shared" si="14"/>
        <v>0</v>
      </c>
      <c r="J78" s="4">
        <f t="shared" si="15"/>
        <v>0</v>
      </c>
      <c r="K78" s="3">
        <f t="shared" si="16"/>
        <v>0</v>
      </c>
      <c r="M78" s="1"/>
      <c r="N78" s="1"/>
      <c r="O78" s="1"/>
    </row>
    <row r="79" spans="1:15" hidden="1" x14ac:dyDescent="0.25">
      <c r="A79" s="66"/>
      <c r="B79" s="1"/>
      <c r="C79" s="1" t="str">
        <f t="shared" si="8"/>
        <v>Mn2O3</v>
      </c>
      <c r="D79" s="9">
        <f t="shared" si="9"/>
        <v>0</v>
      </c>
      <c r="E79" s="9">
        <f t="shared" si="10"/>
        <v>0</v>
      </c>
      <c r="F79" s="9">
        <f t="shared" si="11"/>
        <v>0</v>
      </c>
      <c r="G79" s="8">
        <f t="shared" si="12"/>
        <v>0</v>
      </c>
      <c r="H79" s="8">
        <f t="shared" si="13"/>
        <v>0</v>
      </c>
      <c r="I79" s="8">
        <f t="shared" si="14"/>
        <v>0</v>
      </c>
      <c r="J79" s="4">
        <f t="shared" si="15"/>
        <v>0</v>
      </c>
      <c r="K79" s="3">
        <f t="shared" si="16"/>
        <v>0</v>
      </c>
      <c r="M79" s="1"/>
      <c r="N79" s="1"/>
      <c r="O79" s="1"/>
    </row>
    <row r="80" spans="1:15" hidden="1" x14ac:dyDescent="0.25">
      <c r="A80" s="66"/>
      <c r="B80" s="1"/>
      <c r="C80" s="1" t="str">
        <f t="shared" si="8"/>
        <v>Na2O</v>
      </c>
      <c r="D80" s="9">
        <f t="shared" si="9"/>
        <v>0</v>
      </c>
      <c r="E80" s="9">
        <f t="shared" si="10"/>
        <v>0</v>
      </c>
      <c r="F80" s="9">
        <f t="shared" si="11"/>
        <v>0</v>
      </c>
      <c r="G80" s="8">
        <f t="shared" si="12"/>
        <v>0</v>
      </c>
      <c r="H80" s="8">
        <f t="shared" si="13"/>
        <v>0</v>
      </c>
      <c r="I80" s="8">
        <f t="shared" si="14"/>
        <v>0</v>
      </c>
      <c r="J80" s="4">
        <f t="shared" si="15"/>
        <v>0</v>
      </c>
      <c r="K80" s="3">
        <f t="shared" si="16"/>
        <v>0</v>
      </c>
      <c r="M80" s="1"/>
      <c r="N80" s="1"/>
      <c r="O80" s="1"/>
    </row>
    <row r="81" spans="1:15" hidden="1" x14ac:dyDescent="0.25">
      <c r="A81" s="66"/>
      <c r="B81" s="1"/>
      <c r="C81" s="1" t="str">
        <f t="shared" si="8"/>
        <v>K2O</v>
      </c>
      <c r="D81" s="9">
        <f t="shared" si="9"/>
        <v>0</v>
      </c>
      <c r="E81" s="9">
        <f t="shared" si="10"/>
        <v>0</v>
      </c>
      <c r="F81" s="9">
        <f t="shared" si="11"/>
        <v>0</v>
      </c>
      <c r="G81" s="8">
        <f t="shared" si="12"/>
        <v>0</v>
      </c>
      <c r="H81" s="8">
        <f t="shared" si="13"/>
        <v>0</v>
      </c>
      <c r="I81" s="8">
        <f t="shared" si="14"/>
        <v>0</v>
      </c>
      <c r="J81" s="4">
        <f t="shared" si="15"/>
        <v>0</v>
      </c>
      <c r="K81" s="3">
        <f t="shared" si="16"/>
        <v>0</v>
      </c>
      <c r="M81" s="1"/>
      <c r="N81" s="1"/>
      <c r="O81" s="1"/>
    </row>
    <row r="82" spans="1:15" hidden="1" x14ac:dyDescent="0.25">
      <c r="A82" s="66"/>
      <c r="B82" s="1"/>
      <c r="C82" s="1"/>
      <c r="D82" s="1"/>
      <c r="E82" s="1"/>
      <c r="F82" s="1"/>
      <c r="G82" s="2"/>
      <c r="H82" s="2"/>
      <c r="I82" s="2"/>
      <c r="J82" s="1"/>
      <c r="K82" s="1"/>
      <c r="M82" s="1"/>
      <c r="N82" s="1"/>
      <c r="O82" s="1"/>
    </row>
    <row r="83" spans="1:15" hidden="1" x14ac:dyDescent="0.25">
      <c r="A83" s="66"/>
      <c r="B83" s="1"/>
      <c r="C83" s="1" t="s">
        <v>14</v>
      </c>
      <c r="D83" s="7">
        <f t="shared" ref="D83:K83" si="17">SUM(D70:D81)</f>
        <v>100</v>
      </c>
      <c r="E83" s="7">
        <f t="shared" si="17"/>
        <v>100.00000000000001</v>
      </c>
      <c r="F83" s="7">
        <f t="shared" si="17"/>
        <v>100</v>
      </c>
      <c r="G83" s="7">
        <f t="shared" si="17"/>
        <v>69.953556419582242</v>
      </c>
      <c r="H83" s="7">
        <f t="shared" si="17"/>
        <v>27.729483925295725</v>
      </c>
      <c r="I83" s="7">
        <f t="shared" si="17"/>
        <v>2.3169596551220395</v>
      </c>
      <c r="J83" s="7">
        <f t="shared" si="17"/>
        <v>100</v>
      </c>
      <c r="K83" s="7">
        <f t="shared" si="17"/>
        <v>99.999999999999986</v>
      </c>
      <c r="M83" s="1"/>
      <c r="N83" s="1"/>
      <c r="O83" s="1"/>
    </row>
    <row r="84" spans="1:15" hidden="1" x14ac:dyDescent="0.25">
      <c r="A84" s="66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 hidden="1" x14ac:dyDescent="0.25">
      <c r="A85" s="66"/>
      <c r="B85" s="1"/>
      <c r="C85" s="161" t="s">
        <v>13</v>
      </c>
      <c r="D85" s="161"/>
      <c r="E85" s="161"/>
      <c r="F85" s="161"/>
      <c r="G85" s="161"/>
      <c r="H85" s="161"/>
      <c r="I85" s="161"/>
      <c r="J85" s="161"/>
      <c r="K85" s="161"/>
      <c r="L85" s="161"/>
      <c r="M85" s="1"/>
      <c r="N85" s="1"/>
      <c r="O85" s="1"/>
    </row>
    <row r="86" spans="1:15" hidden="1" x14ac:dyDescent="0.25">
      <c r="A86" s="66"/>
      <c r="B86" s="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"/>
      <c r="N86" s="1"/>
      <c r="O86" s="1"/>
    </row>
    <row r="87" spans="1:15" hidden="1" x14ac:dyDescent="0.25">
      <c r="A87" s="66"/>
      <c r="C87" s="1" t="s">
        <v>12</v>
      </c>
      <c r="D87" s="2">
        <f t="shared" ref="D87:K87" si="18">D73/(D72+D71+D70)</f>
        <v>5.5767077267637175</v>
      </c>
      <c r="E87" s="2">
        <f t="shared" si="18"/>
        <v>0.84535047198232571</v>
      </c>
      <c r="F87" s="2">
        <f t="shared" si="18"/>
        <v>9.0155440414507772E-3</v>
      </c>
      <c r="G87" s="2">
        <f t="shared" si="18"/>
        <v>5.5767077267637175</v>
      </c>
      <c r="H87" s="2">
        <f t="shared" si="18"/>
        <v>0.84535047198232571</v>
      </c>
      <c r="I87" s="2">
        <f t="shared" si="18"/>
        <v>9.0155440414507772E-3</v>
      </c>
      <c r="J87" s="4">
        <f t="shared" si="18"/>
        <v>2.0874822118099057</v>
      </c>
      <c r="K87" s="6">
        <f t="shared" si="18"/>
        <v>2.0874822118099052</v>
      </c>
      <c r="L87" s="1" t="str">
        <f>C87</f>
        <v>MH</v>
      </c>
      <c r="M87" s="1"/>
      <c r="O87" s="1"/>
    </row>
    <row r="88" spans="1:15" hidden="1" x14ac:dyDescent="0.25">
      <c r="A88" s="66"/>
      <c r="C88" s="1" t="s">
        <v>11</v>
      </c>
      <c r="D88" s="2">
        <f t="shared" ref="D88:K88" si="19">D70/(D71+D72)</f>
        <v>3.096330275229358</v>
      </c>
      <c r="E88" s="2">
        <f t="shared" si="19"/>
        <v>3.8152804642166349</v>
      </c>
      <c r="F88" s="2">
        <f t="shared" si="19"/>
        <v>0.13143393129323486</v>
      </c>
      <c r="G88" s="2">
        <f t="shared" si="19"/>
        <v>3.0963302752293576</v>
      </c>
      <c r="H88" s="2">
        <f t="shared" si="19"/>
        <v>3.8152804642166349</v>
      </c>
      <c r="I88" s="2">
        <f t="shared" si="19"/>
        <v>0.13143393129323488</v>
      </c>
      <c r="J88" s="4">
        <f t="shared" si="19"/>
        <v>2.4999999999999996</v>
      </c>
      <c r="K88" s="6">
        <f t="shared" si="19"/>
        <v>2.4999999999999991</v>
      </c>
      <c r="L88" s="1" t="str">
        <f>C88</f>
        <v>SM</v>
      </c>
      <c r="M88" s="1"/>
      <c r="O88" s="1"/>
    </row>
    <row r="89" spans="1:15" hidden="1" x14ac:dyDescent="0.25">
      <c r="A89" s="66"/>
      <c r="C89" s="1" t="s">
        <v>10</v>
      </c>
      <c r="D89" s="2">
        <f t="shared" ref="D89:K89" si="20">D71/D72</f>
        <v>0.48299319727891155</v>
      </c>
      <c r="E89" s="2">
        <f t="shared" si="20"/>
        <v>14.432835820895521</v>
      </c>
      <c r="F89" s="2">
        <f t="shared" si="20"/>
        <v>1.8752986144290492E-2</v>
      </c>
      <c r="G89" s="2">
        <f t="shared" si="20"/>
        <v>0.48299319727891155</v>
      </c>
      <c r="H89" s="2">
        <f t="shared" si="20"/>
        <v>14.432835820895521</v>
      </c>
      <c r="I89" s="2">
        <f t="shared" si="20"/>
        <v>1.8752986144290495E-2</v>
      </c>
      <c r="J89" s="4">
        <f t="shared" si="20"/>
        <v>1.0192221917224682</v>
      </c>
      <c r="K89" s="6">
        <f t="shared" si="20"/>
        <v>1.0192221917224682</v>
      </c>
      <c r="L89" s="1" t="str">
        <f>C89</f>
        <v>TM</v>
      </c>
      <c r="M89" s="1"/>
      <c r="O89" s="1"/>
    </row>
    <row r="90" spans="1:15" hidden="1" x14ac:dyDescent="0.25">
      <c r="A90" s="66"/>
      <c r="C90" s="1" t="s">
        <v>9</v>
      </c>
      <c r="D90" s="2">
        <f t="shared" ref="D90:K90" si="21">D70/D71</f>
        <v>9.5070422535211279</v>
      </c>
      <c r="E90" s="2">
        <f t="shared" si="21"/>
        <v>4.0796277145811795</v>
      </c>
      <c r="F90" s="2">
        <f t="shared" si="21"/>
        <v>7.1401273885350323</v>
      </c>
      <c r="G90" s="2">
        <f t="shared" si="21"/>
        <v>9.5070422535211261</v>
      </c>
      <c r="H90" s="2">
        <f t="shared" si="21"/>
        <v>4.0796277145811795</v>
      </c>
      <c r="I90" s="2">
        <f t="shared" si="21"/>
        <v>7.1401273885350323</v>
      </c>
      <c r="J90" s="4">
        <f t="shared" si="21"/>
        <v>4.9528508310587727</v>
      </c>
      <c r="K90" s="6">
        <f t="shared" si="21"/>
        <v>4.9528508310587718</v>
      </c>
      <c r="L90" s="1" t="str">
        <f>C90</f>
        <v>MS</v>
      </c>
      <c r="M90" s="1"/>
      <c r="O90" s="1"/>
    </row>
    <row r="91" spans="1:15" hidden="1" x14ac:dyDescent="0.25">
      <c r="A91" s="66"/>
      <c r="M91" s="1"/>
      <c r="O91" s="1"/>
    </row>
    <row r="92" spans="1:15" hidden="1" x14ac:dyDescent="0.25">
      <c r="A92" s="66"/>
      <c r="B92" s="1"/>
      <c r="C92" s="161" t="s">
        <v>8</v>
      </c>
      <c r="D92" s="161"/>
      <c r="E92" s="161"/>
      <c r="F92" s="161"/>
      <c r="G92" s="161"/>
      <c r="H92" s="161"/>
      <c r="I92" s="161"/>
      <c r="J92" s="161"/>
      <c r="K92" s="161"/>
      <c r="L92" s="161"/>
      <c r="M92" s="1"/>
      <c r="N92" s="1"/>
      <c r="O92" s="1"/>
    </row>
    <row r="93" spans="1:15" hidden="1" x14ac:dyDescent="0.25">
      <c r="A93" s="66"/>
      <c r="B93" s="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"/>
      <c r="N93" s="1"/>
      <c r="O93" s="1"/>
    </row>
    <row r="94" spans="1:15" hidden="1" x14ac:dyDescent="0.25">
      <c r="A94" s="66"/>
      <c r="B94" s="1"/>
      <c r="M94" s="1"/>
      <c r="N94" s="1"/>
      <c r="O94" s="1"/>
    </row>
    <row r="95" spans="1:15" hidden="1" x14ac:dyDescent="0.25">
      <c r="A95" s="66"/>
      <c r="C95" s="1" t="s">
        <v>6</v>
      </c>
      <c r="D95" s="2">
        <f t="shared" ref="D95:K95" si="22">(D73)/(2.8*D70+1.65*D71+0.35*D72)</f>
        <v>2.4191197901486445</v>
      </c>
      <c r="E95" s="2">
        <f t="shared" si="22"/>
        <v>0.3323332017370707</v>
      </c>
      <c r="F95" s="2">
        <f t="shared" si="22"/>
        <v>1.3748311091094412E-2</v>
      </c>
      <c r="G95" s="2">
        <f t="shared" si="22"/>
        <v>2.419119790148645</v>
      </c>
      <c r="H95" s="2">
        <f t="shared" si="22"/>
        <v>0.3323332017370707</v>
      </c>
      <c r="I95" s="2">
        <f t="shared" si="22"/>
        <v>1.3748311091094411E-2</v>
      </c>
      <c r="J95" s="4">
        <f t="shared" si="22"/>
        <v>0.91256762611423525</v>
      </c>
      <c r="K95" s="3">
        <f t="shared" si="22"/>
        <v>0.91256762611423514</v>
      </c>
      <c r="L95" s="2" t="str">
        <f t="shared" ref="L95:L100" si="23">C95</f>
        <v>KSG</v>
      </c>
      <c r="O95" s="1"/>
    </row>
    <row r="96" spans="1:15" hidden="1" x14ac:dyDescent="0.25">
      <c r="A96" s="66"/>
      <c r="C96" s="1" t="s">
        <v>5</v>
      </c>
      <c r="D96" s="2">
        <f t="shared" ref="D96:K96" si="24">(D73)/(2.8*D70+1.1*D71+0.7*D72)</f>
        <v>2.404635441815548</v>
      </c>
      <c r="E96" s="2">
        <f t="shared" si="24"/>
        <v>0.34623167662010762</v>
      </c>
      <c r="F96" s="2">
        <f t="shared" si="24"/>
        <v>9.4854937363032747E-3</v>
      </c>
      <c r="G96" s="2">
        <f t="shared" si="24"/>
        <v>2.404635441815548</v>
      </c>
      <c r="H96" s="2">
        <f t="shared" si="24"/>
        <v>0.34623167662010756</v>
      </c>
      <c r="I96" s="2">
        <f t="shared" si="24"/>
        <v>9.4854937363032729E-3</v>
      </c>
      <c r="J96" s="4">
        <f t="shared" si="24"/>
        <v>0.92461105765443963</v>
      </c>
      <c r="K96" s="3">
        <f t="shared" si="24"/>
        <v>0.92461105765443941</v>
      </c>
      <c r="L96" s="2" t="str">
        <f t="shared" si="23"/>
        <v>KSt</v>
      </c>
      <c r="M96" s="1"/>
      <c r="O96" s="1"/>
    </row>
    <row r="97" spans="1:15" hidden="1" x14ac:dyDescent="0.25">
      <c r="A97" s="66"/>
      <c r="C97" s="1" t="s">
        <v>4</v>
      </c>
      <c r="D97" s="2">
        <f t="shared" ref="D97:K97" si="25">(D73)/(2.8*D70+1.18*D71+0.65*D72)</f>
        <v>2.4065760415206854</v>
      </c>
      <c r="E97" s="2">
        <f t="shared" si="25"/>
        <v>0.3441365557400653</v>
      </c>
      <c r="F97" s="2">
        <f t="shared" si="25"/>
        <v>9.9248676113923781E-3</v>
      </c>
      <c r="G97" s="2">
        <f t="shared" si="25"/>
        <v>2.4065760415206858</v>
      </c>
      <c r="H97" s="2">
        <f t="shared" si="25"/>
        <v>0.34413655574006524</v>
      </c>
      <c r="I97" s="2">
        <f t="shared" si="25"/>
        <v>9.9248676113923798E-3</v>
      </c>
      <c r="J97" s="4">
        <f t="shared" si="25"/>
        <v>0.92278709177168161</v>
      </c>
      <c r="K97" s="3">
        <f t="shared" si="25"/>
        <v>0.9227870917716815</v>
      </c>
      <c r="L97" s="2" t="str">
        <f t="shared" si="23"/>
        <v>KSt I</v>
      </c>
      <c r="M97" s="1"/>
      <c r="O97" s="1"/>
    </row>
    <row r="98" spans="1:15" hidden="1" x14ac:dyDescent="0.25">
      <c r="A98" s="66"/>
      <c r="C98" s="1" t="s">
        <v>7</v>
      </c>
      <c r="D98" s="2">
        <f t="shared" ref="D98:K98" si="26">(D73-(1.65*D71+0.35*D72))/(2.8*D70)</f>
        <v>2.5457142857142858</v>
      </c>
      <c r="E98" s="2">
        <f t="shared" si="26"/>
        <v>0.23447401774397975</v>
      </c>
      <c r="F98" s="2">
        <f t="shared" si="26"/>
        <v>-0.98835542245444097</v>
      </c>
      <c r="G98" s="2">
        <f t="shared" si="26"/>
        <v>2.5457142857142863</v>
      </c>
      <c r="H98" s="2">
        <f t="shared" si="26"/>
        <v>0.23447401774397975</v>
      </c>
      <c r="I98" s="2">
        <f t="shared" si="26"/>
        <v>-0.98835542245444086</v>
      </c>
      <c r="J98" s="4">
        <f t="shared" si="26"/>
        <v>0.9</v>
      </c>
      <c r="K98" s="3">
        <f t="shared" si="26"/>
        <v>0.9</v>
      </c>
      <c r="L98" s="1" t="str">
        <f t="shared" si="23"/>
        <v>KSK</v>
      </c>
      <c r="O98" s="1"/>
    </row>
    <row r="99" spans="1:15" hidden="1" x14ac:dyDescent="0.25">
      <c r="A99" s="66"/>
      <c r="C99" s="1" t="s">
        <v>3</v>
      </c>
      <c r="D99" s="2">
        <f t="shared" ref="D99:K99" si="27">((D73+0.75*D74))/(2.8*D70+1.18*D71+0.65*D72)</f>
        <v>2.4602165918437366</v>
      </c>
      <c r="E99" s="2">
        <f t="shared" si="27"/>
        <v>0.38926921878794274</v>
      </c>
      <c r="F99" s="2">
        <f t="shared" si="27"/>
        <v>1.5400656638367484E-2</v>
      </c>
      <c r="G99" s="2">
        <f t="shared" si="27"/>
        <v>2.4602165918437371</v>
      </c>
      <c r="H99" s="2">
        <f t="shared" si="27"/>
        <v>0.38926921878794268</v>
      </c>
      <c r="I99" s="2">
        <f t="shared" si="27"/>
        <v>1.5400656638367486E-2</v>
      </c>
      <c r="J99" s="4">
        <f t="shared" si="27"/>
        <v>0.96876490781253322</v>
      </c>
      <c r="K99" s="3">
        <f t="shared" si="27"/>
        <v>0.9687649078125331</v>
      </c>
      <c r="L99" s="2" t="str">
        <f t="shared" si="23"/>
        <v>KSt II</v>
      </c>
      <c r="M99" s="1" t="s">
        <v>1</v>
      </c>
    </row>
    <row r="100" spans="1:15" hidden="1" x14ac:dyDescent="0.25">
      <c r="A100" s="66"/>
      <c r="B100" s="1"/>
      <c r="C100" s="1" t="s">
        <v>2</v>
      </c>
      <c r="D100" s="2">
        <f t="shared" ref="D100:K100" si="28">(D73-0.7*D75)/(2.8*D70+1.2*D71+0.65*D72)</f>
        <v>2.4015453338162502</v>
      </c>
      <c r="E100" s="2">
        <f t="shared" si="28"/>
        <v>0.3395932228294809</v>
      </c>
      <c r="F100" s="2">
        <f t="shared" si="28"/>
        <v>-9.3511232751739037E-4</v>
      </c>
      <c r="G100" s="2">
        <f t="shared" si="28"/>
        <v>2.4015453338162507</v>
      </c>
      <c r="H100" s="2">
        <f t="shared" si="28"/>
        <v>0.3395932228294809</v>
      </c>
      <c r="I100" s="2">
        <f t="shared" si="28"/>
        <v>-9.351123275173908E-4</v>
      </c>
      <c r="J100" s="4">
        <f t="shared" si="28"/>
        <v>0.91751382906074852</v>
      </c>
      <c r="K100" s="3">
        <f t="shared" si="28"/>
        <v>0.91751382906074841</v>
      </c>
      <c r="L100" s="2" t="str">
        <f t="shared" si="23"/>
        <v>LSF</v>
      </c>
      <c r="M100" s="1" t="s">
        <v>0</v>
      </c>
    </row>
    <row r="101" spans="1:15" x14ac:dyDescent="0.25">
      <c r="A101" s="66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</sheetData>
  <mergeCells count="24">
    <mergeCell ref="O8:AA8"/>
    <mergeCell ref="U12:V12"/>
    <mergeCell ref="O15:AA15"/>
    <mergeCell ref="O21:AA21"/>
    <mergeCell ref="U10:V10"/>
    <mergeCell ref="P13:S13"/>
    <mergeCell ref="P12:S12"/>
    <mergeCell ref="P11:S11"/>
    <mergeCell ref="K1:V1"/>
    <mergeCell ref="O33:AA33"/>
    <mergeCell ref="C85:L86"/>
    <mergeCell ref="C92:L93"/>
    <mergeCell ref="U11:V11"/>
    <mergeCell ref="X30:AA32"/>
    <mergeCell ref="R30:U30"/>
    <mergeCell ref="O27:AA27"/>
    <mergeCell ref="R31:U31"/>
    <mergeCell ref="C14:L14"/>
    <mergeCell ref="S25:T25"/>
    <mergeCell ref="U13:V13"/>
    <mergeCell ref="S23:T23"/>
    <mergeCell ref="S24:T24"/>
    <mergeCell ref="R29:U29"/>
    <mergeCell ref="O6:AA6"/>
  </mergeCells>
  <pageMargins left="0.7" right="0.7" top="0.75" bottom="0.75" header="0.3" footer="0.3"/>
  <pageSetup orientation="portrait" horizontalDpi="300" verticalDpi="0" copies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33"/>
  <sheetViews>
    <sheetView zoomScale="98" zoomScaleNormal="98" workbookViewId="0">
      <selection activeCell="A95" sqref="A95:XFD132"/>
    </sheetView>
  </sheetViews>
  <sheetFormatPr baseColWidth="10" defaultRowHeight="15" x14ac:dyDescent="0.25"/>
  <cols>
    <col min="1" max="2" width="7.7109375" bestFit="1" customWidth="1"/>
    <col min="3" max="3" width="6.5703125" bestFit="1" customWidth="1"/>
    <col min="4" max="4" width="6.7109375" bestFit="1" customWidth="1"/>
    <col min="5" max="5" width="12.28515625" bestFit="1" customWidth="1"/>
    <col min="6" max="6" width="11.85546875" bestFit="1" customWidth="1"/>
    <col min="7" max="8" width="9.7109375" bestFit="1" customWidth="1"/>
    <col min="9" max="10" width="8.7109375" bestFit="1" customWidth="1"/>
    <col min="11" max="11" width="8.140625" bestFit="1" customWidth="1"/>
    <col min="12" max="12" width="7.28515625" bestFit="1" customWidth="1"/>
    <col min="13" max="13" width="8.140625" bestFit="1" customWidth="1"/>
    <col min="14" max="15" width="6.7109375" bestFit="1" customWidth="1"/>
    <col min="16" max="17" width="6" bestFit="1" customWidth="1"/>
    <col min="18" max="18" width="7.140625" bestFit="1" customWidth="1"/>
    <col min="19" max="19" width="8.140625" bestFit="1" customWidth="1"/>
    <col min="20" max="20" width="5.85546875" bestFit="1" customWidth="1"/>
    <col min="21" max="21" width="4.5703125" bestFit="1" customWidth="1"/>
  </cols>
  <sheetData>
    <row r="1" spans="2:22" x14ac:dyDescent="0.25">
      <c r="B1" s="1"/>
      <c r="C1" s="1"/>
      <c r="D1" s="1"/>
      <c r="E1" s="1"/>
      <c r="F1" s="1"/>
      <c r="G1" s="1"/>
      <c r="H1" s="1"/>
      <c r="I1" s="1"/>
      <c r="J1" s="1"/>
    </row>
    <row r="2" spans="2:22" x14ac:dyDescent="0.25">
      <c r="B2" s="1"/>
      <c r="C2" s="1" t="s">
        <v>63</v>
      </c>
      <c r="D2" s="1" t="s">
        <v>62</v>
      </c>
      <c r="E2" s="1" t="s">
        <v>61</v>
      </c>
      <c r="F2" s="1" t="s">
        <v>60</v>
      </c>
      <c r="G2" s="1" t="s">
        <v>29</v>
      </c>
      <c r="H2" s="1" t="s">
        <v>28</v>
      </c>
      <c r="I2" s="1" t="s">
        <v>59</v>
      </c>
      <c r="J2" s="1" t="s">
        <v>26</v>
      </c>
      <c r="K2" s="1" t="s">
        <v>25</v>
      </c>
      <c r="L2" s="1" t="s">
        <v>24</v>
      </c>
      <c r="M2" s="1" t="s">
        <v>23</v>
      </c>
      <c r="N2" s="1" t="s">
        <v>22</v>
      </c>
    </row>
    <row r="3" spans="2:22" ht="15.75" thickBot="1" x14ac:dyDescent="0.3">
      <c r="B3" s="1"/>
      <c r="C3" s="1"/>
      <c r="D3" s="1"/>
      <c r="E3" s="1"/>
      <c r="F3" s="1"/>
      <c r="G3" s="1"/>
      <c r="H3" s="1"/>
      <c r="I3" s="1"/>
      <c r="J3" s="1"/>
    </row>
    <row r="4" spans="2:22" x14ac:dyDescent="0.25">
      <c r="B4" s="1"/>
      <c r="C4" s="1"/>
      <c r="D4" s="1"/>
      <c r="E4" s="1"/>
      <c r="F4" s="1"/>
      <c r="G4" s="1"/>
      <c r="H4" s="26"/>
      <c r="I4" s="27"/>
      <c r="J4" s="27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1"/>
    </row>
    <row r="5" spans="2:22" ht="18.75" x14ac:dyDescent="0.25">
      <c r="B5" s="1"/>
      <c r="C5" s="255" t="s">
        <v>68</v>
      </c>
      <c r="D5" s="255"/>
      <c r="E5" s="255"/>
      <c r="F5" s="255"/>
      <c r="G5" s="255"/>
      <c r="H5" s="59"/>
      <c r="I5" s="242" t="s">
        <v>71</v>
      </c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31"/>
    </row>
    <row r="6" spans="2:22" ht="18.75" x14ac:dyDescent="0.25">
      <c r="B6" s="1"/>
      <c r="C6" s="21"/>
      <c r="D6" s="23"/>
      <c r="E6" s="23"/>
      <c r="F6" s="23"/>
      <c r="G6" s="23"/>
      <c r="H6" s="60"/>
      <c r="I6" s="61"/>
      <c r="J6" s="58"/>
      <c r="K6" s="62"/>
      <c r="L6" s="62"/>
      <c r="M6" s="58"/>
      <c r="N6" s="58"/>
      <c r="O6" s="30"/>
      <c r="P6" s="30"/>
      <c r="Q6" s="30"/>
      <c r="R6" s="30"/>
      <c r="S6" s="30"/>
      <c r="T6" s="30"/>
      <c r="U6" s="30"/>
      <c r="V6" s="31"/>
    </row>
    <row r="7" spans="2:22" x14ac:dyDescent="0.25">
      <c r="B7" s="161" t="s">
        <v>70</v>
      </c>
      <c r="C7" s="161"/>
      <c r="D7" s="161"/>
      <c r="E7" s="161"/>
      <c r="F7" s="161"/>
      <c r="G7" s="161"/>
      <c r="H7" s="63"/>
      <c r="I7" s="256" t="s">
        <v>80</v>
      </c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31"/>
    </row>
    <row r="8" spans="2:22" ht="15.75" thickBot="1" x14ac:dyDescent="0.3">
      <c r="B8" s="1"/>
      <c r="C8" s="1"/>
      <c r="D8" s="1"/>
      <c r="E8" s="1"/>
      <c r="F8" s="1" t="s">
        <v>67</v>
      </c>
      <c r="G8" s="1"/>
      <c r="H8" s="63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1"/>
    </row>
    <row r="9" spans="2:22" x14ac:dyDescent="0.25">
      <c r="B9" s="1"/>
      <c r="C9" s="1"/>
      <c r="D9" s="1"/>
      <c r="E9" s="22" t="s">
        <v>63</v>
      </c>
      <c r="F9" s="14">
        <v>68</v>
      </c>
      <c r="G9" s="1"/>
      <c r="H9" s="63"/>
      <c r="I9" s="30"/>
      <c r="J9" s="30"/>
      <c r="K9" s="30"/>
      <c r="L9" s="30"/>
      <c r="M9" s="38" t="str">
        <f>E14</f>
        <v>CALIZA</v>
      </c>
      <c r="N9" s="39" t="str">
        <f>D96</f>
        <v>X</v>
      </c>
      <c r="O9" s="259">
        <f>E96</f>
        <v>0.76735588605718308</v>
      </c>
      <c r="P9" s="260"/>
      <c r="Q9" s="30"/>
      <c r="R9" s="30"/>
      <c r="S9" s="30"/>
      <c r="T9" s="30"/>
      <c r="U9" s="30"/>
      <c r="V9" s="31"/>
    </row>
    <row r="10" spans="2:22" ht="15.75" thickBot="1" x14ac:dyDescent="0.3">
      <c r="B10" s="1"/>
      <c r="C10" s="1"/>
      <c r="D10" s="1"/>
      <c r="E10" s="1"/>
      <c r="F10" s="1"/>
      <c r="G10" s="1"/>
      <c r="H10" s="63"/>
      <c r="I10" s="30"/>
      <c r="J10" s="30"/>
      <c r="K10" s="30"/>
      <c r="L10" s="30"/>
      <c r="M10" s="41" t="str">
        <f>F14</f>
        <v>ARCILLA</v>
      </c>
      <c r="N10" s="42" t="str">
        <f>D97</f>
        <v>Y</v>
      </c>
      <c r="O10" s="261">
        <f>E97</f>
        <v>0.23264411394281681</v>
      </c>
      <c r="P10" s="262"/>
      <c r="Q10" s="30"/>
      <c r="R10" s="30"/>
      <c r="S10" s="30"/>
      <c r="T10" s="30"/>
      <c r="U10" s="30"/>
      <c r="V10" s="31"/>
    </row>
    <row r="11" spans="2:22" ht="15" hidden="1" customHeight="1" x14ac:dyDescent="0.25">
      <c r="B11" s="1"/>
      <c r="C11" s="1"/>
      <c r="D11" s="1"/>
      <c r="E11" s="1" t="s">
        <v>69</v>
      </c>
      <c r="F11" s="13">
        <f>IF(E28&gt;0,1,0)+IF(F28&gt;0,1,0)</f>
        <v>2</v>
      </c>
      <c r="G11" s="1"/>
      <c r="H11" s="63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1"/>
    </row>
    <row r="12" spans="2:22" x14ac:dyDescent="0.25">
      <c r="B12" s="1"/>
      <c r="C12" s="21"/>
      <c r="D12" s="1"/>
      <c r="E12" s="1"/>
      <c r="F12" s="1"/>
      <c r="G12" s="1"/>
      <c r="H12" s="63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1"/>
    </row>
    <row r="13" spans="2:22" x14ac:dyDescent="0.25">
      <c r="B13" s="1"/>
      <c r="C13" s="1"/>
      <c r="E13" s="1" t="s">
        <v>37</v>
      </c>
      <c r="F13" s="1" t="s">
        <v>36</v>
      </c>
      <c r="G13" s="1"/>
      <c r="H13" s="29"/>
      <c r="I13" s="257" t="s">
        <v>79</v>
      </c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31"/>
    </row>
    <row r="14" spans="2:22" ht="15.75" thickBot="1" x14ac:dyDescent="0.3">
      <c r="B14" s="1"/>
      <c r="C14" s="1"/>
      <c r="E14" s="1" t="s">
        <v>35</v>
      </c>
      <c r="F14" s="1" t="s">
        <v>34</v>
      </c>
      <c r="G14" s="1"/>
      <c r="H14" s="29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1"/>
    </row>
    <row r="15" spans="2:22" x14ac:dyDescent="0.25">
      <c r="B15" s="1"/>
      <c r="C15" s="1"/>
      <c r="D15" s="1" t="s">
        <v>33</v>
      </c>
      <c r="E15" s="14">
        <v>2.1800000000000002</v>
      </c>
      <c r="F15" s="14">
        <v>65.75</v>
      </c>
      <c r="G15" s="1"/>
      <c r="H15" s="29"/>
      <c r="I15" s="38"/>
      <c r="J15" s="39" t="str">
        <f>D15</f>
        <v>SiO2</v>
      </c>
      <c r="K15" s="39" t="str">
        <f>D16</f>
        <v>Al2O3</v>
      </c>
      <c r="L15" s="39" t="str">
        <f>D17</f>
        <v>Fe2O3</v>
      </c>
      <c r="M15" s="39" t="str">
        <f>D18</f>
        <v>CaO</v>
      </c>
      <c r="N15" s="39" t="str">
        <f>D19</f>
        <v>MgO</v>
      </c>
      <c r="O15" s="39" t="str">
        <f>D20</f>
        <v>SO3</v>
      </c>
      <c r="P15" s="39" t="str">
        <f>D21</f>
        <v>P.C.</v>
      </c>
      <c r="Q15" s="39" t="str">
        <f>D22</f>
        <v>Resto</v>
      </c>
      <c r="R15" s="39" t="str">
        <f>D23</f>
        <v>TiO2</v>
      </c>
      <c r="S15" s="39" t="str">
        <f>D24</f>
        <v>Mn2O3</v>
      </c>
      <c r="T15" s="39" t="str">
        <f>D25</f>
        <v>Na2O</v>
      </c>
      <c r="U15" s="44" t="str">
        <f>D26</f>
        <v>K2O</v>
      </c>
      <c r="V15" s="31"/>
    </row>
    <row r="16" spans="2:22" x14ac:dyDescent="0.25">
      <c r="B16" s="1"/>
      <c r="C16" s="1"/>
      <c r="D16" s="1" t="s">
        <v>32</v>
      </c>
      <c r="E16" s="14">
        <v>0.88</v>
      </c>
      <c r="F16" s="14">
        <v>17.05</v>
      </c>
      <c r="G16" s="1"/>
      <c r="H16" s="29"/>
      <c r="I16" s="45" t="s">
        <v>16</v>
      </c>
      <c r="J16" s="37">
        <f>HLOOKUP($I$16,$D$100:$J$113,3,FALSE)</f>
        <v>15.25194738991007</v>
      </c>
      <c r="K16" s="37">
        <f>HLOOKUP($I$16,$D$100:$J$113,4,FALSE)</f>
        <v>4.1248257368662706</v>
      </c>
      <c r="L16" s="37">
        <f>HLOOKUP($I$16,$D$100:$J$113,5,FALSE)</f>
        <v>1.849303574602138</v>
      </c>
      <c r="M16" s="37">
        <f>HLOOKUP($I$16,$D$100:$J$113,6,FALSE)</f>
        <v>52.613143057001253</v>
      </c>
      <c r="N16" s="37">
        <f>HLOOKUP($I$16,$D$100:$J$113,7,FALSE)</f>
        <v>0.91383314884542721</v>
      </c>
      <c r="O16" s="37">
        <f>HLOOKUP($I$16,$D$100:$J$113,8,FALSE)</f>
        <v>0.59943270363475376</v>
      </c>
      <c r="P16" s="36">
        <f>HLOOKUP($I$16,$D$100:$J$113,9,FALSE)</f>
        <v>24.647514389140085</v>
      </c>
      <c r="Q16" s="36">
        <f>HLOOKUP($I$16,$D$100:$J$113,10,FALSE)</f>
        <v>0</v>
      </c>
      <c r="R16" s="36">
        <f>HLOOKUP($I$16,$D$100:$J$113,11,FALSE)</f>
        <v>0</v>
      </c>
      <c r="S16" s="36">
        <f>HLOOKUP($I$16,$D$100:$J$113,12,FALSE)</f>
        <v>0</v>
      </c>
      <c r="T16" s="36">
        <f>HLOOKUP($I$16,$D$100:$J$113,13,FALSE)</f>
        <v>0</v>
      </c>
      <c r="U16" s="46">
        <f>HLOOKUP($I$16,$D$100:$J$113,14,FALSE)</f>
        <v>0</v>
      </c>
      <c r="V16" s="31"/>
    </row>
    <row r="17" spans="2:22" ht="15.75" thickBot="1" x14ac:dyDescent="0.3">
      <c r="B17" s="1"/>
      <c r="C17" s="1"/>
      <c r="D17" s="1" t="s">
        <v>31</v>
      </c>
      <c r="E17" s="14">
        <v>0.67</v>
      </c>
      <c r="F17" s="14">
        <v>6.95</v>
      </c>
      <c r="G17" s="1"/>
      <c r="H17" s="29"/>
      <c r="I17" s="47" t="s">
        <v>15</v>
      </c>
      <c r="J17" s="48">
        <f>HLOOKUP($I$17,$D$100:$J$113,3,FALSE)</f>
        <v>15.25194738991007</v>
      </c>
      <c r="K17" s="48">
        <f>HLOOKUP($I$17,$D$100:$J$113,4,FALSE)</f>
        <v>4.1248257368662706</v>
      </c>
      <c r="L17" s="48">
        <f>HLOOKUP($I$17,$D$100:$J$113,5,FALSE)</f>
        <v>1.849303574602138</v>
      </c>
      <c r="M17" s="48">
        <f>HLOOKUP($I$17,$D$100:$J$113,6,FALSE)</f>
        <v>52.613143057001253</v>
      </c>
      <c r="N17" s="48">
        <f>HLOOKUP($I$17,$D$100:$J$113,7,FALSE)</f>
        <v>0.91383314884542721</v>
      </c>
      <c r="O17" s="48">
        <f>HLOOKUP($I$17,$D$100:$J$113,8,FALSE)</f>
        <v>0.59943270363475376</v>
      </c>
      <c r="P17" s="49">
        <f>HLOOKUP($I$17,$D$100:$J$113,9,FALSE)</f>
        <v>0</v>
      </c>
      <c r="Q17" s="49">
        <f>HLOOKUP($I$17,$D$100:$J$113,10,FALSE)</f>
        <v>0</v>
      </c>
      <c r="R17" s="49">
        <f>HLOOKUP($I$17,$D$100:$J$113,11,FALSE)</f>
        <v>0</v>
      </c>
      <c r="S17" s="49">
        <f>HLOOKUP($I$17,$D$100:$J$113,12,FALSE)</f>
        <v>0</v>
      </c>
      <c r="T17" s="49">
        <f>HLOOKUP($I$17,$D$100:$J$113,13,FALSE)</f>
        <v>0</v>
      </c>
      <c r="U17" s="43">
        <f>HLOOKUP($I$17,$D$100:$J$113,14,FALSE)</f>
        <v>0</v>
      </c>
      <c r="V17" s="31"/>
    </row>
    <row r="18" spans="2:22" x14ac:dyDescent="0.25">
      <c r="B18" s="1"/>
      <c r="C18" s="1"/>
      <c r="D18" s="1" t="s">
        <v>30</v>
      </c>
      <c r="E18" s="14">
        <v>95.33</v>
      </c>
      <c r="F18" s="14">
        <v>5.55</v>
      </c>
      <c r="G18" s="1"/>
      <c r="H18" s="29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1"/>
    </row>
    <row r="19" spans="2:22" x14ac:dyDescent="0.25">
      <c r="B19" s="1"/>
      <c r="C19" s="1"/>
      <c r="D19" s="1" t="s">
        <v>29</v>
      </c>
      <c r="E19" s="14">
        <v>0.94</v>
      </c>
      <c r="F19" s="14">
        <v>1.9</v>
      </c>
      <c r="G19" s="1"/>
      <c r="H19" s="29"/>
      <c r="I19" s="256" t="s">
        <v>13</v>
      </c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31"/>
    </row>
    <row r="20" spans="2:22" ht="15.75" thickBot="1" x14ac:dyDescent="0.3">
      <c r="B20" s="1"/>
      <c r="C20" s="1"/>
      <c r="D20" s="1" t="s">
        <v>28</v>
      </c>
      <c r="E20" s="14">
        <v>0</v>
      </c>
      <c r="F20" s="14">
        <v>2.8</v>
      </c>
      <c r="G20" s="1"/>
      <c r="H20" s="29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1"/>
    </row>
    <row r="21" spans="2:22" x14ac:dyDescent="0.25">
      <c r="B21" s="1"/>
      <c r="C21" s="1"/>
      <c r="D21" s="1" t="s">
        <v>27</v>
      </c>
      <c r="E21" s="14">
        <v>42.25</v>
      </c>
      <c r="F21" s="14">
        <v>8.67</v>
      </c>
      <c r="G21" s="1"/>
      <c r="H21" s="29"/>
      <c r="I21" s="30"/>
      <c r="J21" s="30"/>
      <c r="K21" s="30"/>
      <c r="L21" s="30"/>
      <c r="M21" s="263" t="s">
        <v>73</v>
      </c>
      <c r="N21" s="264"/>
      <c r="O21" s="54" t="str">
        <f>D119</f>
        <v>MH</v>
      </c>
      <c r="P21" s="40">
        <f>J119</f>
        <v>2.4787031441182164</v>
      </c>
      <c r="Q21" s="30"/>
      <c r="R21" s="30"/>
      <c r="S21" s="30"/>
      <c r="T21" s="30"/>
      <c r="U21" s="30"/>
      <c r="V21" s="31"/>
    </row>
    <row r="22" spans="2:22" x14ac:dyDescent="0.25">
      <c r="B22" s="1"/>
      <c r="C22" s="1"/>
      <c r="D22" s="1" t="s">
        <v>26</v>
      </c>
      <c r="E22" s="14">
        <v>0</v>
      </c>
      <c r="F22" s="14">
        <v>0</v>
      </c>
      <c r="G22" s="1"/>
      <c r="H22" s="29"/>
      <c r="I22" s="30"/>
      <c r="J22" s="30"/>
      <c r="K22" s="30"/>
      <c r="L22" s="30"/>
      <c r="M22" s="265" t="s">
        <v>72</v>
      </c>
      <c r="N22" s="266"/>
      <c r="O22" s="36" t="str">
        <f>D120</f>
        <v>SM</v>
      </c>
      <c r="P22" s="55">
        <f>J120</f>
        <v>2.5529992061991749</v>
      </c>
      <c r="Q22" s="30"/>
      <c r="R22" s="30"/>
      <c r="S22" s="30"/>
      <c r="T22" s="30"/>
      <c r="U22" s="30"/>
      <c r="V22" s="31"/>
    </row>
    <row r="23" spans="2:22" ht="15.75" thickBot="1" x14ac:dyDescent="0.3">
      <c r="B23" s="1"/>
      <c r="D23" s="1" t="s">
        <v>25</v>
      </c>
      <c r="E23" s="14">
        <v>0</v>
      </c>
      <c r="F23" s="14">
        <v>0</v>
      </c>
      <c r="G23" s="1"/>
      <c r="H23" s="29"/>
      <c r="I23" s="30"/>
      <c r="J23" s="30"/>
      <c r="K23" s="30"/>
      <c r="L23" s="30"/>
      <c r="M23" s="267" t="s">
        <v>74</v>
      </c>
      <c r="N23" s="268"/>
      <c r="O23" s="49" t="str">
        <f>D121</f>
        <v>TM</v>
      </c>
      <c r="P23" s="56">
        <f>J121</f>
        <v>2.2304751872626927</v>
      </c>
      <c r="Q23" s="30"/>
      <c r="R23" s="30"/>
      <c r="S23" s="30"/>
      <c r="T23" s="30"/>
      <c r="U23" s="30"/>
      <c r="V23" s="31"/>
    </row>
    <row r="24" spans="2:22" x14ac:dyDescent="0.25">
      <c r="B24" s="1"/>
      <c r="D24" s="1" t="s">
        <v>24</v>
      </c>
      <c r="E24" s="14">
        <v>0</v>
      </c>
      <c r="F24" s="14">
        <v>0</v>
      </c>
      <c r="G24" s="1"/>
      <c r="H24" s="29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1"/>
    </row>
    <row r="25" spans="2:22" x14ac:dyDescent="0.25">
      <c r="B25" s="1"/>
      <c r="D25" s="1" t="s">
        <v>23</v>
      </c>
      <c r="E25" s="14">
        <v>0</v>
      </c>
      <c r="F25" s="14">
        <v>0</v>
      </c>
      <c r="G25" s="1"/>
      <c r="H25" s="29"/>
      <c r="I25" s="256" t="s">
        <v>75</v>
      </c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31"/>
    </row>
    <row r="26" spans="2:22" ht="15.75" thickBot="1" x14ac:dyDescent="0.3">
      <c r="B26" s="1"/>
      <c r="D26" s="1" t="s">
        <v>22</v>
      </c>
      <c r="E26" s="14">
        <v>0</v>
      </c>
      <c r="F26" s="14">
        <v>0</v>
      </c>
      <c r="G26" s="1"/>
      <c r="H26" s="29"/>
      <c r="I26" s="30"/>
      <c r="J26" s="30"/>
      <c r="K26" s="58"/>
      <c r="L26" s="58"/>
      <c r="M26" s="58"/>
      <c r="N26" s="58"/>
      <c r="O26" s="58"/>
      <c r="P26" s="58"/>
      <c r="Q26" s="30"/>
      <c r="R26" s="25"/>
      <c r="S26" s="62"/>
      <c r="T26" s="62"/>
      <c r="U26" s="62"/>
      <c r="V26" s="31"/>
    </row>
    <row r="27" spans="2:22" x14ac:dyDescent="0.25">
      <c r="B27" s="1"/>
      <c r="D27" s="1"/>
      <c r="E27" s="1"/>
      <c r="F27" s="1"/>
      <c r="G27" s="1"/>
      <c r="H27" s="29"/>
      <c r="I27" s="30"/>
      <c r="J27" s="30"/>
      <c r="K27" s="30"/>
      <c r="L27" s="263" t="s">
        <v>76</v>
      </c>
      <c r="M27" s="271"/>
      <c r="N27" s="271"/>
      <c r="O27" s="264"/>
      <c r="P27" s="39" t="str">
        <f>D126</f>
        <v>KSK</v>
      </c>
      <c r="Q27" s="40">
        <f>J126</f>
        <v>1.057474432270501</v>
      </c>
      <c r="R27" s="62"/>
      <c r="S27" s="62"/>
      <c r="T27" s="62"/>
      <c r="U27" s="62"/>
      <c r="V27" s="31"/>
    </row>
    <row r="28" spans="2:22" x14ac:dyDescent="0.25">
      <c r="B28" s="1"/>
      <c r="D28" s="1" t="s">
        <v>66</v>
      </c>
      <c r="E28" s="13">
        <f>SUM(E15:E26)</f>
        <v>142.25</v>
      </c>
      <c r="F28" s="13">
        <f>SUM(F15:F26)</f>
        <v>108.67</v>
      </c>
      <c r="G28" s="1"/>
      <c r="H28" s="29"/>
      <c r="I28" s="30"/>
      <c r="J28" s="30"/>
      <c r="K28" s="30"/>
      <c r="L28" s="265" t="s">
        <v>77</v>
      </c>
      <c r="M28" s="270"/>
      <c r="N28" s="270"/>
      <c r="O28" s="266"/>
      <c r="P28" s="35" t="str">
        <f>D130</f>
        <v>KSt II</v>
      </c>
      <c r="Q28" s="55">
        <f>J130</f>
        <v>1.0927471574397596</v>
      </c>
      <c r="R28" s="257" t="str">
        <f>IF(95&lt;Q29*100,"PORTLAND  DE ALTA CALIDAD",IF(90&lt;Q29*100,"PORTLAND NORMAL", ANALIZAR))</f>
        <v>PORTLAND  DE ALTA CALIDAD</v>
      </c>
      <c r="S28" s="257"/>
      <c r="T28" s="257"/>
      <c r="U28" s="257"/>
      <c r="V28" s="258"/>
    </row>
    <row r="29" spans="2:22" ht="15.75" thickBot="1" x14ac:dyDescent="0.3">
      <c r="B29" s="1"/>
      <c r="D29" s="1"/>
      <c r="E29" s="1"/>
      <c r="F29" s="1"/>
      <c r="G29" s="1"/>
      <c r="H29" s="29"/>
      <c r="I29" s="30"/>
      <c r="J29" s="30"/>
      <c r="K29" s="30"/>
      <c r="L29" s="267" t="s">
        <v>78</v>
      </c>
      <c r="M29" s="269"/>
      <c r="N29" s="269"/>
      <c r="O29" s="268"/>
      <c r="P29" s="42" t="str">
        <f>D131</f>
        <v>LSF</v>
      </c>
      <c r="Q29" s="56">
        <f>J131</f>
        <v>1.0682855967565199</v>
      </c>
      <c r="R29" s="257"/>
      <c r="S29" s="257"/>
      <c r="T29" s="257"/>
      <c r="U29" s="257"/>
      <c r="V29" s="258"/>
    </row>
    <row r="30" spans="2:22" x14ac:dyDescent="0.25">
      <c r="B30" s="1"/>
      <c r="D30" s="1"/>
      <c r="E30" s="1"/>
      <c r="F30" s="1"/>
      <c r="G30" s="1"/>
      <c r="H30" s="29"/>
      <c r="I30" s="30"/>
      <c r="J30" s="30"/>
      <c r="K30" s="58"/>
      <c r="L30" s="58"/>
      <c r="M30" s="58"/>
      <c r="N30" s="58"/>
      <c r="O30" s="58"/>
      <c r="P30" s="58"/>
      <c r="Q30" s="30"/>
      <c r="R30" s="257"/>
      <c r="S30" s="257"/>
      <c r="T30" s="257"/>
      <c r="U30" s="257"/>
      <c r="V30" s="258"/>
    </row>
    <row r="31" spans="2:22" x14ac:dyDescent="0.25">
      <c r="B31" s="1"/>
      <c r="D31" s="1"/>
      <c r="E31" s="1"/>
      <c r="F31" s="1"/>
      <c r="G31" s="1"/>
      <c r="H31" s="29"/>
      <c r="I31" s="30"/>
      <c r="J31" s="30"/>
      <c r="K31" s="58"/>
      <c r="L31" s="58"/>
      <c r="M31" s="58"/>
      <c r="N31" s="58"/>
      <c r="O31" s="58"/>
      <c r="P31" s="58"/>
      <c r="Q31" s="30"/>
      <c r="R31" s="62"/>
      <c r="S31" s="62"/>
      <c r="T31" s="62"/>
      <c r="U31" s="62"/>
      <c r="V31" s="31"/>
    </row>
    <row r="32" spans="2:22" ht="15.75" thickBot="1" x14ac:dyDescent="0.3">
      <c r="B32" s="1"/>
      <c r="D32" s="1"/>
      <c r="E32" s="1"/>
      <c r="F32" s="1"/>
      <c r="G32" s="1"/>
      <c r="H32" s="32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4"/>
    </row>
    <row r="33" spans="1:17" x14ac:dyDescent="0.25">
      <c r="B33" s="1"/>
      <c r="D33" s="1"/>
      <c r="E33" s="1"/>
      <c r="F33" s="1"/>
      <c r="G33" s="1"/>
    </row>
    <row r="34" spans="1:17" ht="15" customHeight="1" x14ac:dyDescent="0.25">
      <c r="A34" s="17"/>
      <c r="B34" s="1"/>
      <c r="D34" s="21"/>
      <c r="E34" s="1"/>
      <c r="F34" s="1"/>
      <c r="G34" s="1"/>
    </row>
    <row r="35" spans="1:17" ht="15" hidden="1" customHeight="1" x14ac:dyDescent="0.25">
      <c r="A35" s="17"/>
      <c r="B35" s="1"/>
      <c r="C35" s="21"/>
      <c r="D35" s="1"/>
      <c r="E35" s="1" t="str">
        <f>E13</f>
        <v>M.P. 1</v>
      </c>
      <c r="F35" s="1" t="str">
        <f>F13</f>
        <v>M.P.2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ht="15" hidden="1" customHeight="1" x14ac:dyDescent="0.25">
      <c r="A36" s="17"/>
      <c r="B36" s="1"/>
      <c r="C36" s="21"/>
      <c r="D36" s="1"/>
      <c r="E36" s="1" t="str">
        <f>E14</f>
        <v>CALIZA</v>
      </c>
      <c r="F36" s="1" t="str">
        <f>F14</f>
        <v>ARCILLA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ht="15" hidden="1" customHeight="1" x14ac:dyDescent="0.25">
      <c r="A37" s="17"/>
      <c r="B37" s="1"/>
      <c r="C37" s="21"/>
      <c r="D37" s="1" t="str">
        <f t="shared" ref="D37:D48" si="0">D15</f>
        <v>SiO2</v>
      </c>
      <c r="E37" s="8">
        <f t="shared" ref="E37:E48" si="1">IF(E15=0,0,IF($E$28&lt;100,(IF(D37="Resto",E15+100-$E$28,E15)),IF($E$28&gt;100,E15-((E15*($E$28-100))/($E$28)),E15)))</f>
        <v>1.5325131810193322</v>
      </c>
      <c r="F37" s="8">
        <f t="shared" ref="F37:F48" si="2">IF(F15=0,0,IF($F$28&lt;100,(IF(D37="Resto",F15+100-$F$28,F15)),IF($F$28&gt;100,F15-((F15*($F$28-100))/($F$28)),F15)))</f>
        <v>60.504279009846321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ht="15" hidden="1" customHeight="1" x14ac:dyDescent="0.25">
      <c r="A38" s="17"/>
      <c r="B38" s="1"/>
      <c r="C38" s="21"/>
      <c r="D38" s="1" t="str">
        <f t="shared" si="0"/>
        <v>Al2O3</v>
      </c>
      <c r="E38" s="8">
        <f t="shared" si="1"/>
        <v>0.61862917398945516</v>
      </c>
      <c r="F38" s="8">
        <f t="shared" si="2"/>
        <v>15.689702769853685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ht="15" hidden="1" customHeight="1" x14ac:dyDescent="0.25">
      <c r="A39" s="17"/>
      <c r="B39" s="1"/>
      <c r="C39" s="21"/>
      <c r="D39" s="1" t="str">
        <f t="shared" si="0"/>
        <v>Fe2O3</v>
      </c>
      <c r="E39" s="8">
        <f t="shared" si="1"/>
        <v>0.47100175746924433</v>
      </c>
      <c r="F39" s="8">
        <f t="shared" si="2"/>
        <v>6.3955093402042884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ht="15" hidden="1" customHeight="1" x14ac:dyDescent="0.25">
      <c r="A40" s="17"/>
      <c r="B40" s="1"/>
      <c r="C40" s="21"/>
      <c r="D40" s="1" t="str">
        <f t="shared" si="0"/>
        <v>CaO</v>
      </c>
      <c r="E40" s="8">
        <f t="shared" si="1"/>
        <v>67.015817223198596</v>
      </c>
      <c r="F40" s="8">
        <f t="shared" si="2"/>
        <v>5.1072053004509064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ht="15" hidden="1" customHeight="1" x14ac:dyDescent="0.25">
      <c r="A41" s="17"/>
      <c r="B41" s="1"/>
      <c r="C41" s="21"/>
      <c r="D41" s="1" t="str">
        <f t="shared" si="0"/>
        <v>MgO</v>
      </c>
      <c r="E41" s="8">
        <f t="shared" si="1"/>
        <v>0.66080843585237248</v>
      </c>
      <c r="F41" s="8">
        <f t="shared" si="2"/>
        <v>1.7484126253795895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ht="15" hidden="1" customHeight="1" x14ac:dyDescent="0.25">
      <c r="A42" s="17"/>
      <c r="B42" s="1"/>
      <c r="C42" s="21"/>
      <c r="D42" s="1" t="str">
        <f t="shared" si="0"/>
        <v>SO3</v>
      </c>
      <c r="E42" s="8">
        <f t="shared" si="1"/>
        <v>0</v>
      </c>
      <c r="F42" s="8">
        <f t="shared" si="2"/>
        <v>2.5766080795067632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ht="15" hidden="1" customHeight="1" x14ac:dyDescent="0.25">
      <c r="A43" s="17"/>
      <c r="B43" s="1"/>
      <c r="C43" s="21"/>
      <c r="D43" s="1" t="str">
        <f t="shared" si="0"/>
        <v>P.C.</v>
      </c>
      <c r="E43" s="8">
        <f t="shared" si="1"/>
        <v>29.701230228471001</v>
      </c>
      <c r="F43" s="8">
        <f t="shared" si="2"/>
        <v>7.9782828747584427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ht="15" hidden="1" customHeight="1" x14ac:dyDescent="0.25">
      <c r="A44" s="17"/>
      <c r="B44" s="1"/>
      <c r="C44" s="21"/>
      <c r="D44" s="1" t="str">
        <f t="shared" si="0"/>
        <v>Resto</v>
      </c>
      <c r="E44" s="8">
        <f t="shared" si="1"/>
        <v>0</v>
      </c>
      <c r="F44" s="8">
        <f t="shared" si="2"/>
        <v>0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 ht="15" hidden="1" customHeight="1" x14ac:dyDescent="0.25">
      <c r="A45" s="17"/>
      <c r="B45" s="1"/>
      <c r="C45" s="21"/>
      <c r="D45" s="1" t="str">
        <f t="shared" si="0"/>
        <v>TiO2</v>
      </c>
      <c r="E45" s="8">
        <f t="shared" si="1"/>
        <v>0</v>
      </c>
      <c r="F45" s="8">
        <f t="shared" si="2"/>
        <v>0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 ht="15" hidden="1" customHeight="1" x14ac:dyDescent="0.25">
      <c r="A46" s="17"/>
      <c r="B46" s="1"/>
      <c r="C46" s="21"/>
      <c r="D46" s="1" t="str">
        <f t="shared" si="0"/>
        <v>Mn2O3</v>
      </c>
      <c r="E46" s="8">
        <f t="shared" si="1"/>
        <v>0</v>
      </c>
      <c r="F46" s="8">
        <f t="shared" si="2"/>
        <v>0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 ht="15" hidden="1" customHeight="1" x14ac:dyDescent="0.25">
      <c r="A47" s="17"/>
      <c r="B47" s="1"/>
      <c r="C47" s="21"/>
      <c r="D47" s="1" t="str">
        <f t="shared" si="0"/>
        <v>Na2O</v>
      </c>
      <c r="E47" s="8">
        <f t="shared" si="1"/>
        <v>0</v>
      </c>
      <c r="F47" s="8">
        <f t="shared" si="2"/>
        <v>0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 ht="15" hidden="1" customHeight="1" x14ac:dyDescent="0.25">
      <c r="A48" s="17"/>
      <c r="B48" s="1"/>
      <c r="C48" s="21"/>
      <c r="D48" s="1" t="str">
        <f t="shared" si="0"/>
        <v>K2O</v>
      </c>
      <c r="E48" s="8">
        <f t="shared" si="1"/>
        <v>0</v>
      </c>
      <c r="F48" s="8">
        <f t="shared" si="2"/>
        <v>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23" ht="15" hidden="1" customHeight="1" x14ac:dyDescent="0.25">
      <c r="A49" s="17"/>
      <c r="B49" s="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23" ht="15" hidden="1" customHeight="1" x14ac:dyDescent="0.25">
      <c r="A50" s="17"/>
      <c r="B50" s="1"/>
      <c r="C50" s="21"/>
      <c r="D50" s="1" t="s">
        <v>66</v>
      </c>
      <c r="E50" s="13">
        <f>SUM(E37:E48)</f>
        <v>100</v>
      </c>
      <c r="F50" s="13">
        <f>SUM(F37:F48)</f>
        <v>100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23" ht="15" hidden="1" customHeight="1" x14ac:dyDescent="0.25">
      <c r="A51" s="17"/>
      <c r="B51" s="1"/>
      <c r="C51" s="21"/>
      <c r="D51" s="2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23" ht="15" hidden="1" customHeight="1" x14ac:dyDescent="0.25">
      <c r="A52" s="17"/>
      <c r="B52" s="1"/>
      <c r="C52" s="21"/>
      <c r="D52" s="2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23" ht="15" hidden="1" customHeight="1" x14ac:dyDescent="0.25">
      <c r="A53" s="17"/>
      <c r="B53" s="1"/>
      <c r="C53" s="21"/>
      <c r="D53" s="21"/>
      <c r="E53" s="1"/>
      <c r="F53" s="161" t="s">
        <v>63</v>
      </c>
      <c r="G53" s="161"/>
      <c r="H53" s="161" t="s">
        <v>62</v>
      </c>
      <c r="I53" s="161"/>
      <c r="J53" s="1" t="s">
        <v>61</v>
      </c>
      <c r="K53" s="1"/>
      <c r="L53" s="1" t="s">
        <v>60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5" hidden="1" customHeight="1" x14ac:dyDescent="0.25">
      <c r="A54" s="17"/>
      <c r="B54" s="1"/>
      <c r="C54" s="21"/>
      <c r="D54" s="21"/>
      <c r="E54" s="1" t="s">
        <v>65</v>
      </c>
      <c r="F54" s="1" t="s">
        <v>64</v>
      </c>
      <c r="G54" s="1">
        <f>(3*E58)+E55</f>
        <v>228</v>
      </c>
      <c r="H54" s="1" t="s">
        <v>64</v>
      </c>
      <c r="I54" s="1">
        <f>E55+2*E58</f>
        <v>172</v>
      </c>
      <c r="J54" s="1" t="s">
        <v>64</v>
      </c>
      <c r="K54" s="1">
        <f>E56+3*E58</f>
        <v>270</v>
      </c>
      <c r="L54" s="1" t="s">
        <v>64</v>
      </c>
      <c r="M54" s="1">
        <f>E56+E57+4*E58</f>
        <v>486</v>
      </c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ht="15" hidden="1" customHeight="1" x14ac:dyDescent="0.25">
      <c r="A55" s="17"/>
      <c r="B55" s="1"/>
      <c r="C55" s="21"/>
      <c r="D55" s="21" t="s">
        <v>33</v>
      </c>
      <c r="E55" s="1">
        <v>60</v>
      </c>
      <c r="F55" s="1">
        <v>1</v>
      </c>
      <c r="G55" s="2">
        <f>F55*E55/$G$54</f>
        <v>0.26315789473684209</v>
      </c>
      <c r="H55" s="1">
        <v>1</v>
      </c>
      <c r="I55" s="2">
        <f>H55*E55/$I$54</f>
        <v>0.34883720930232559</v>
      </c>
      <c r="J55" s="1">
        <v>0</v>
      </c>
      <c r="K55" s="2">
        <f>J55*E55/$K$54</f>
        <v>0</v>
      </c>
      <c r="L55" s="1">
        <v>0</v>
      </c>
      <c r="M55" s="2">
        <f>L55*E55/$M$54</f>
        <v>0</v>
      </c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ht="15" hidden="1" customHeight="1" x14ac:dyDescent="0.25">
      <c r="A56" s="17"/>
      <c r="B56" s="1"/>
      <c r="C56" s="21"/>
      <c r="D56" s="21" t="s">
        <v>32</v>
      </c>
      <c r="E56" s="1">
        <v>102</v>
      </c>
      <c r="F56" s="1">
        <v>0</v>
      </c>
      <c r="G56" s="2">
        <f>F56*E56/$G$54</f>
        <v>0</v>
      </c>
      <c r="H56" s="1">
        <v>0</v>
      </c>
      <c r="I56" s="2">
        <f>H56*E56/$I$54</f>
        <v>0</v>
      </c>
      <c r="J56" s="1">
        <v>1</v>
      </c>
      <c r="K56" s="2">
        <f>J56*E56/$K$54</f>
        <v>0.37777777777777777</v>
      </c>
      <c r="L56" s="1">
        <v>1</v>
      </c>
      <c r="M56" s="2">
        <f>L56*E56/$M$54</f>
        <v>0.20987654320987653</v>
      </c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ht="15" hidden="1" customHeight="1" x14ac:dyDescent="0.25">
      <c r="A57" s="17"/>
      <c r="B57" s="1"/>
      <c r="C57" s="21"/>
      <c r="D57" s="21" t="s">
        <v>31</v>
      </c>
      <c r="E57" s="1">
        <v>160</v>
      </c>
      <c r="F57" s="1">
        <v>0</v>
      </c>
      <c r="G57" s="2">
        <f>F57*E57/$G$54</f>
        <v>0</v>
      </c>
      <c r="H57" s="1">
        <v>0</v>
      </c>
      <c r="I57" s="2">
        <f>H57*E57/$I$54</f>
        <v>0</v>
      </c>
      <c r="J57" s="1">
        <v>0</v>
      </c>
      <c r="K57" s="2">
        <f>J57*E57/$K$54</f>
        <v>0</v>
      </c>
      <c r="L57" s="1">
        <v>1</v>
      </c>
      <c r="M57" s="2">
        <f>L57*E57/$M$54</f>
        <v>0.32921810699588477</v>
      </c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ht="15" hidden="1" customHeight="1" x14ac:dyDescent="0.25">
      <c r="A58" s="17"/>
      <c r="B58" s="1"/>
      <c r="C58" s="21"/>
      <c r="D58" s="21" t="s">
        <v>30</v>
      </c>
      <c r="E58" s="1">
        <v>56</v>
      </c>
      <c r="F58" s="1">
        <v>3</v>
      </c>
      <c r="G58" s="2">
        <f>F58*E58/$G$54</f>
        <v>0.73684210526315785</v>
      </c>
      <c r="H58" s="1">
        <v>2</v>
      </c>
      <c r="I58" s="2">
        <f>H58*E58/$I$54</f>
        <v>0.65116279069767447</v>
      </c>
      <c r="J58" s="1">
        <v>3</v>
      </c>
      <c r="K58" s="2">
        <f>J58*E58/$K$54</f>
        <v>0.62222222222222223</v>
      </c>
      <c r="L58" s="1">
        <v>4</v>
      </c>
      <c r="M58" s="2">
        <f>L58*E58/$M$54</f>
        <v>0.46090534979423869</v>
      </c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hidden="1" x14ac:dyDescent="0.25">
      <c r="A59" s="17"/>
      <c r="B59" s="1"/>
      <c r="C59" s="21"/>
      <c r="D59" s="2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hidden="1" x14ac:dyDescent="0.25">
      <c r="A60" s="17"/>
      <c r="B60" s="1"/>
      <c r="C60" s="1"/>
      <c r="D60" s="2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hidden="1" x14ac:dyDescent="0.25">
      <c r="A61" s="17"/>
      <c r="B61" s="1"/>
      <c r="C61" s="1"/>
      <c r="D61" s="1"/>
      <c r="E61" s="1" t="s">
        <v>63</v>
      </c>
      <c r="F61" s="1" t="s">
        <v>62</v>
      </c>
      <c r="G61" s="1" t="s">
        <v>61</v>
      </c>
      <c r="H61" s="1" t="s">
        <v>60</v>
      </c>
      <c r="I61" s="1" t="s">
        <v>29</v>
      </c>
      <c r="J61" s="1" t="s">
        <v>28</v>
      </c>
      <c r="K61" s="1" t="s">
        <v>25</v>
      </c>
      <c r="L61" s="1" t="s">
        <v>24</v>
      </c>
      <c r="M61" s="1" t="s">
        <v>23</v>
      </c>
      <c r="N61" s="1" t="s">
        <v>22</v>
      </c>
      <c r="O61" s="1" t="s">
        <v>59</v>
      </c>
      <c r="P61" s="1" t="s">
        <v>26</v>
      </c>
      <c r="Q61" s="1"/>
      <c r="R61" s="1" t="str">
        <f t="shared" ref="R61:R73" si="3">E36</f>
        <v>CALIZA</v>
      </c>
      <c r="S61" s="1" t="str">
        <f t="shared" ref="S61:S73" si="4">F36</f>
        <v>ARCILLA</v>
      </c>
      <c r="T61" s="1"/>
    </row>
    <row r="62" spans="1:23" hidden="1" x14ac:dyDescent="0.25">
      <c r="A62" s="17"/>
      <c r="B62" s="1"/>
      <c r="C62" s="1"/>
      <c r="D62" s="1" t="str">
        <f t="shared" ref="D62:D73" si="5">D15</f>
        <v>SiO2</v>
      </c>
      <c r="E62" s="4">
        <f>G55</f>
        <v>0.26315789473684209</v>
      </c>
      <c r="F62" s="4">
        <f>I55</f>
        <v>0.34883720930232559</v>
      </c>
      <c r="G62" s="4">
        <f>K55</f>
        <v>0</v>
      </c>
      <c r="H62" s="4">
        <f>M55</f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1"/>
      <c r="R62" s="19">
        <f t="shared" si="3"/>
        <v>1.5325131810193322</v>
      </c>
      <c r="S62" s="19">
        <f t="shared" si="4"/>
        <v>60.504279009846321</v>
      </c>
      <c r="T62" s="1"/>
    </row>
    <row r="63" spans="1:23" hidden="1" x14ac:dyDescent="0.25">
      <c r="A63" s="17"/>
      <c r="B63" s="1"/>
      <c r="C63" s="1"/>
      <c r="D63" s="1" t="str">
        <f t="shared" si="5"/>
        <v>Al2O3</v>
      </c>
      <c r="E63" s="4">
        <f>G56</f>
        <v>0</v>
      </c>
      <c r="F63" s="4">
        <f>I56</f>
        <v>0</v>
      </c>
      <c r="G63" s="4">
        <f>K56</f>
        <v>0.37777777777777777</v>
      </c>
      <c r="H63" s="4">
        <f>M56</f>
        <v>0.20987654320987653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1"/>
      <c r="R63" s="19">
        <f t="shared" si="3"/>
        <v>0.61862917398945516</v>
      </c>
      <c r="S63" s="19">
        <f t="shared" si="4"/>
        <v>15.689702769853685</v>
      </c>
      <c r="T63" s="1"/>
    </row>
    <row r="64" spans="1:23" hidden="1" x14ac:dyDescent="0.25">
      <c r="A64" s="17"/>
      <c r="B64" s="1"/>
      <c r="C64" s="1"/>
      <c r="D64" s="1" t="str">
        <f t="shared" si="5"/>
        <v>Fe2O3</v>
      </c>
      <c r="E64" s="4">
        <f>G57</f>
        <v>0</v>
      </c>
      <c r="F64" s="4">
        <f>I57</f>
        <v>0</v>
      </c>
      <c r="G64" s="4">
        <f>K57</f>
        <v>0</v>
      </c>
      <c r="H64" s="4">
        <f>M57</f>
        <v>0.32921810699588477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1"/>
      <c r="R64" s="19">
        <f t="shared" si="3"/>
        <v>0.47100175746924433</v>
      </c>
      <c r="S64" s="19">
        <f t="shared" si="4"/>
        <v>6.3955093402042884</v>
      </c>
      <c r="T64" s="1"/>
    </row>
    <row r="65" spans="1:23" hidden="1" x14ac:dyDescent="0.25">
      <c r="A65" s="17"/>
      <c r="B65" s="1"/>
      <c r="C65" s="1"/>
      <c r="D65" s="1" t="str">
        <f t="shared" si="5"/>
        <v>CaO</v>
      </c>
      <c r="E65" s="4">
        <f>G58</f>
        <v>0.73684210526315785</v>
      </c>
      <c r="F65" s="4">
        <f>I58</f>
        <v>0.65116279069767447</v>
      </c>
      <c r="G65" s="4">
        <f>K58</f>
        <v>0.62222222222222223</v>
      </c>
      <c r="H65" s="4">
        <f>M58</f>
        <v>0.46090534979423869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1"/>
      <c r="R65" s="19">
        <f t="shared" si="3"/>
        <v>67.015817223198596</v>
      </c>
      <c r="S65" s="19">
        <f t="shared" si="4"/>
        <v>5.1072053004509064</v>
      </c>
      <c r="T65" s="1"/>
    </row>
    <row r="66" spans="1:23" hidden="1" x14ac:dyDescent="0.25">
      <c r="A66" s="17"/>
      <c r="B66" s="1"/>
      <c r="C66" s="1"/>
      <c r="D66" s="1" t="str">
        <f t="shared" si="5"/>
        <v>MgO</v>
      </c>
      <c r="E66" s="20">
        <v>0</v>
      </c>
      <c r="F66" s="20">
        <v>0</v>
      </c>
      <c r="G66" s="20">
        <v>0</v>
      </c>
      <c r="H66" s="20">
        <v>0</v>
      </c>
      <c r="I66" s="20">
        <f>IF(SUM(E41:F41)&gt;0,1,0)</f>
        <v>1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1"/>
      <c r="R66" s="19">
        <f t="shared" si="3"/>
        <v>0.66080843585237248</v>
      </c>
      <c r="S66" s="19">
        <f t="shared" si="4"/>
        <v>1.7484126253795895</v>
      </c>
      <c r="T66" s="1"/>
    </row>
    <row r="67" spans="1:23" hidden="1" x14ac:dyDescent="0.25">
      <c r="A67" s="17"/>
      <c r="B67" s="1"/>
      <c r="C67" s="1"/>
      <c r="D67" s="1" t="str">
        <f t="shared" si="5"/>
        <v>SO3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f>IF(SUM(E42:F42)&gt;0,1,0)</f>
        <v>1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1"/>
      <c r="R67" s="19">
        <f t="shared" si="3"/>
        <v>0</v>
      </c>
      <c r="S67" s="19">
        <f t="shared" si="4"/>
        <v>2.5766080795067632</v>
      </c>
      <c r="T67" s="1"/>
    </row>
    <row r="68" spans="1:23" hidden="1" x14ac:dyDescent="0.25">
      <c r="A68" s="17"/>
      <c r="B68" s="1"/>
      <c r="C68" s="1"/>
      <c r="D68" s="1" t="str">
        <f t="shared" si="5"/>
        <v>P.C.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f>IF(SUM(E43:F43)&gt;0,1,0)</f>
        <v>1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1"/>
      <c r="R68" s="19">
        <f t="shared" si="3"/>
        <v>29.701230228471001</v>
      </c>
      <c r="S68" s="19">
        <f t="shared" si="4"/>
        <v>7.9782828747584427</v>
      </c>
      <c r="T68" s="1"/>
    </row>
    <row r="69" spans="1:23" hidden="1" x14ac:dyDescent="0.25">
      <c r="A69" s="17"/>
      <c r="B69" s="1"/>
      <c r="C69" s="1"/>
      <c r="D69" s="1" t="str">
        <f t="shared" si="5"/>
        <v>Resto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f>IF(SUM(E44:F44)&gt;0,1,0)</f>
        <v>0</v>
      </c>
      <c r="M69" s="20">
        <v>0</v>
      </c>
      <c r="N69" s="20">
        <v>0</v>
      </c>
      <c r="O69" s="20">
        <v>0</v>
      </c>
      <c r="P69" s="20">
        <v>0</v>
      </c>
      <c r="Q69" s="1"/>
      <c r="R69" s="19">
        <f t="shared" si="3"/>
        <v>0</v>
      </c>
      <c r="S69" s="19">
        <f t="shared" si="4"/>
        <v>0</v>
      </c>
      <c r="T69" s="1"/>
    </row>
    <row r="70" spans="1:23" hidden="1" x14ac:dyDescent="0.25">
      <c r="A70" s="17"/>
      <c r="B70" s="1"/>
      <c r="C70" s="1"/>
      <c r="D70" s="1" t="str">
        <f t="shared" si="5"/>
        <v>TiO2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f>IF(SUM(E45:F45)&gt;0,1,0)</f>
        <v>0</v>
      </c>
      <c r="N70" s="20">
        <v>0</v>
      </c>
      <c r="O70" s="20">
        <v>0</v>
      </c>
      <c r="P70" s="20">
        <v>0</v>
      </c>
      <c r="Q70" s="1"/>
      <c r="R70" s="19">
        <f t="shared" si="3"/>
        <v>0</v>
      </c>
      <c r="S70" s="19">
        <f t="shared" si="4"/>
        <v>0</v>
      </c>
      <c r="T70" s="1"/>
    </row>
    <row r="71" spans="1:23" hidden="1" x14ac:dyDescent="0.25">
      <c r="A71" s="17"/>
      <c r="B71" s="1"/>
      <c r="C71" s="1"/>
      <c r="D71" s="1" t="str">
        <f t="shared" si="5"/>
        <v>Mn2O3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f>IF(SUM(E46:F46)&gt;0,1,0)</f>
        <v>0</v>
      </c>
      <c r="O71" s="20">
        <v>0</v>
      </c>
      <c r="P71" s="20">
        <v>0</v>
      </c>
      <c r="Q71" s="1"/>
      <c r="R71" s="19">
        <f t="shared" si="3"/>
        <v>0</v>
      </c>
      <c r="S71" s="19">
        <f t="shared" si="4"/>
        <v>0</v>
      </c>
      <c r="T71" s="1"/>
    </row>
    <row r="72" spans="1:23" hidden="1" x14ac:dyDescent="0.25">
      <c r="A72" s="17"/>
      <c r="B72" s="1"/>
      <c r="C72" s="1"/>
      <c r="D72" s="1" t="str">
        <f t="shared" si="5"/>
        <v>Na2O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f>IF(SUM(E47:F47)&gt;0,1,0)</f>
        <v>0</v>
      </c>
      <c r="P72" s="20">
        <v>0</v>
      </c>
      <c r="Q72" s="1"/>
      <c r="R72" s="19">
        <f t="shared" si="3"/>
        <v>0</v>
      </c>
      <c r="S72" s="19">
        <f t="shared" si="4"/>
        <v>0</v>
      </c>
      <c r="T72" s="1"/>
    </row>
    <row r="73" spans="1:23" hidden="1" x14ac:dyDescent="0.25">
      <c r="A73" s="17"/>
      <c r="B73" s="1"/>
      <c r="C73" s="1"/>
      <c r="D73" s="1" t="str">
        <f t="shared" si="5"/>
        <v>K2O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f>IF(SUM(E48:F48)&gt;0,1,0)</f>
        <v>0</v>
      </c>
      <c r="Q73" s="1"/>
      <c r="R73" s="19">
        <f t="shared" si="3"/>
        <v>0</v>
      </c>
      <c r="S73" s="19">
        <f t="shared" si="4"/>
        <v>0</v>
      </c>
      <c r="T73" s="1"/>
    </row>
    <row r="74" spans="1:23" hidden="1" x14ac:dyDescent="0.25">
      <c r="A74" s="17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hidden="1" x14ac:dyDescent="0.25">
      <c r="A75" s="17"/>
      <c r="B75" s="1"/>
      <c r="C75" s="1"/>
      <c r="D75" s="1"/>
      <c r="E75" s="1" t="str">
        <f>E14</f>
        <v>CALIZA</v>
      </c>
      <c r="F75" s="1" t="str">
        <f>F14</f>
        <v>ARCILLA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3" hidden="1" x14ac:dyDescent="0.25">
      <c r="A76" s="17"/>
      <c r="B76" s="1"/>
      <c r="C76" s="1"/>
      <c r="D76" s="1"/>
      <c r="E76" s="1" t="str">
        <f>E13</f>
        <v>M.P. 1</v>
      </c>
      <c r="F76" s="1" t="str">
        <f>F13</f>
        <v>M.P.2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3" hidden="1" x14ac:dyDescent="0.25">
      <c r="A77" s="17"/>
      <c r="B77" s="1"/>
      <c r="C77" s="1"/>
      <c r="D77" s="71" t="s">
        <v>63</v>
      </c>
      <c r="E77" s="18">
        <f t="array" ref="E77:E88">MMULT(MINVERSE(E62:IF(I66=0,H65,IF(J67=0,I66,IF(K68=0,J67,IF(L69=0,K68,IF(M70=0,L69,IF(N71=0,M70,IF(O72=0,N71,IF(P73=0,O72,P73))))))))),R62:IF(I66=0,R65,IF(J67=0,R66,IF(K68=0,R67,IF(L69=0,R68,IF(M70=0,R69,IF(N71=0,R70,IF(O72=0,R71,IF(P73=0,R72,R73)))))))))</f>
        <v>256.38338083915471</v>
      </c>
      <c r="F77" s="18">
        <f t="array" ref="F77:F88">MMULT(MINVERSE(E62:IF(I66=0,H65,IF(J67=0,I66,IF(K68=0,J67,IF(L69=0,K68,IF(M70=0,L69,IF(N71=0,M70,IF(O72=0,N71,IF(P73=0,O72,P73))))))))),S62:IF(I66=0,S65,IF(J67=0,S66,IF(K68=0,S67,IF(L69=0,S68,IF(M70=0,S69,IF(N71=0,S70,IF(O72=0,S71,IF(P73=0,S72,S73)))))))))</f>
        <v>-553.36580063147017</v>
      </c>
      <c r="G77" s="2"/>
      <c r="H77" s="1"/>
      <c r="I77" s="1"/>
      <c r="J77" s="1"/>
      <c r="K77" s="1"/>
      <c r="L77" s="1"/>
      <c r="M77" s="2"/>
      <c r="N77" s="2"/>
      <c r="O77" s="2"/>
      <c r="P77" s="1"/>
      <c r="Q77" s="1"/>
      <c r="R77" s="1"/>
      <c r="S77" s="1"/>
      <c r="T77" s="1"/>
    </row>
    <row r="78" spans="1:23" hidden="1" x14ac:dyDescent="0.25">
      <c r="A78" s="17"/>
      <c r="B78" s="1"/>
      <c r="C78" s="1"/>
      <c r="D78" s="71" t="s">
        <v>62</v>
      </c>
      <c r="E78" s="18">
        <v>-189.01881968956303</v>
      </c>
      <c r="F78" s="18">
        <v>590.89699328705444</v>
      </c>
      <c r="G78" s="2"/>
      <c r="H78" s="1"/>
      <c r="I78" s="1"/>
      <c r="J78" s="1"/>
      <c r="K78" s="1"/>
      <c r="L78" s="1"/>
      <c r="M78" s="2"/>
      <c r="N78" s="2"/>
      <c r="O78" s="2"/>
      <c r="P78" s="1"/>
      <c r="Q78" s="1"/>
      <c r="R78" s="1"/>
      <c r="S78" s="1"/>
      <c r="T78" s="1"/>
    </row>
    <row r="79" spans="1:23" ht="15.75" hidden="1" customHeight="1" x14ac:dyDescent="0.25">
      <c r="A79" s="17"/>
      <c r="B79" s="1"/>
      <c r="C79" s="1"/>
      <c r="D79" s="71" t="s">
        <v>61</v>
      </c>
      <c r="E79" s="18">
        <v>0.84273234777214912</v>
      </c>
      <c r="F79" s="18">
        <v>30.739144143900312</v>
      </c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3" ht="15.75" hidden="1" customHeight="1" x14ac:dyDescent="0.25">
      <c r="A80" s="17"/>
      <c r="B80" s="1"/>
      <c r="C80" s="1"/>
      <c r="D80" s="71" t="s">
        <v>60</v>
      </c>
      <c r="E80" s="18">
        <v>1.4306678383128297</v>
      </c>
      <c r="F80" s="18">
        <v>19.426359620870528</v>
      </c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3" ht="15.75" hidden="1" customHeight="1" x14ac:dyDescent="0.25">
      <c r="A81" s="17"/>
      <c r="B81" s="1"/>
      <c r="C81" s="1"/>
      <c r="D81" s="71" t="s">
        <v>29</v>
      </c>
      <c r="E81" s="18">
        <v>0.66080843585237248</v>
      </c>
      <c r="F81" s="18">
        <v>1.7484126253795895</v>
      </c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3" ht="15.75" hidden="1" customHeight="1" x14ac:dyDescent="0.25">
      <c r="A82" s="17"/>
      <c r="B82" s="1"/>
      <c r="C82" s="1"/>
      <c r="D82" s="71" t="s">
        <v>28</v>
      </c>
      <c r="E82" s="18">
        <v>0</v>
      </c>
      <c r="F82" s="18">
        <v>2.5766080795067632</v>
      </c>
      <c r="G82" s="2"/>
      <c r="H82" s="1"/>
      <c r="I82" s="1"/>
      <c r="J82" s="1"/>
      <c r="K82" s="1"/>
      <c r="L82" s="1"/>
      <c r="M82" s="2"/>
      <c r="N82" s="1"/>
      <c r="O82" s="2"/>
      <c r="P82" s="1"/>
      <c r="Q82" s="1"/>
      <c r="R82" s="1"/>
      <c r="S82" s="1"/>
      <c r="T82" s="1"/>
    </row>
    <row r="83" spans="1:23" ht="15.75" hidden="1" customHeight="1" x14ac:dyDescent="0.25">
      <c r="A83" s="17"/>
      <c r="B83" s="1"/>
      <c r="C83" s="1"/>
      <c r="D83" s="71" t="s">
        <v>59</v>
      </c>
      <c r="E83" s="18">
        <v>29.701230228471001</v>
      </c>
      <c r="F83" s="18">
        <v>7.9782828747584427</v>
      </c>
      <c r="G83" s="2"/>
      <c r="H83" s="1"/>
      <c r="I83" s="1"/>
      <c r="J83" s="1"/>
      <c r="K83" s="1"/>
      <c r="L83" s="1"/>
      <c r="M83" s="2"/>
      <c r="N83" s="1"/>
      <c r="O83" s="2"/>
      <c r="P83" s="1"/>
      <c r="Q83" s="1"/>
      <c r="R83" s="1"/>
      <c r="S83" s="1"/>
      <c r="T83" s="1"/>
    </row>
    <row r="84" spans="1:23" ht="15.75" hidden="1" customHeight="1" x14ac:dyDescent="0.25">
      <c r="A84" s="17"/>
      <c r="B84" s="1"/>
      <c r="C84" s="1"/>
      <c r="D84" s="71" t="s">
        <v>26</v>
      </c>
      <c r="E84" s="18" t="e">
        <v>#N/A</v>
      </c>
      <c r="F84" s="18" t="e">
        <v>#N/A</v>
      </c>
      <c r="G84" s="2"/>
      <c r="H84" s="1"/>
      <c r="I84" s="1"/>
      <c r="J84" s="1"/>
      <c r="K84" s="1"/>
      <c r="L84" s="1"/>
      <c r="M84" s="2"/>
      <c r="N84" s="1"/>
      <c r="O84" s="1"/>
      <c r="P84" s="1"/>
      <c r="Q84" s="1"/>
      <c r="R84" s="1"/>
      <c r="S84" s="1"/>
      <c r="T84" s="1"/>
    </row>
    <row r="85" spans="1:23" ht="15.75" hidden="1" customHeight="1" x14ac:dyDescent="0.25">
      <c r="A85" s="17"/>
      <c r="B85" s="1"/>
      <c r="C85" s="1"/>
      <c r="D85" s="71" t="s">
        <v>25</v>
      </c>
      <c r="E85" s="18" t="e">
        <v>#N/A</v>
      </c>
      <c r="F85" s="18" t="e">
        <v>#N/A</v>
      </c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3" ht="15.75" hidden="1" customHeight="1" x14ac:dyDescent="0.25">
      <c r="A86" s="17"/>
      <c r="B86" s="1"/>
      <c r="C86" s="1"/>
      <c r="D86" s="71" t="s">
        <v>24</v>
      </c>
      <c r="E86" s="18" t="e">
        <v>#N/A</v>
      </c>
      <c r="F86" s="18" t="e">
        <v>#N/A</v>
      </c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3" ht="15.75" hidden="1" customHeight="1" x14ac:dyDescent="0.25">
      <c r="A87" s="17"/>
      <c r="B87" s="1"/>
      <c r="C87" s="1"/>
      <c r="D87" s="71" t="s">
        <v>23</v>
      </c>
      <c r="E87" s="18" t="e">
        <v>#N/A</v>
      </c>
      <c r="F87" s="18" t="e">
        <v>#N/A</v>
      </c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3" ht="15.75" hidden="1" customHeight="1" x14ac:dyDescent="0.25">
      <c r="A88" s="17"/>
      <c r="B88" s="1"/>
      <c r="C88" s="1"/>
      <c r="D88" s="71" t="s">
        <v>22</v>
      </c>
      <c r="E88" s="18" t="e">
        <v>#N/A</v>
      </c>
      <c r="F88" s="18" t="e">
        <v>#N/A</v>
      </c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3" ht="15.75" hidden="1" customHeight="1" x14ac:dyDescent="0.25">
      <c r="A89" s="17"/>
      <c r="B89" s="1"/>
      <c r="C89" s="1"/>
      <c r="D89" s="1"/>
      <c r="E89" s="2"/>
      <c r="F89" s="2"/>
      <c r="G89" s="2"/>
      <c r="H89" s="2"/>
      <c r="I89" s="2"/>
      <c r="J89" s="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t="15.75" hidden="1" customHeight="1" x14ac:dyDescent="0.25">
      <c r="A90" s="12"/>
      <c r="B90" s="1"/>
      <c r="C90" s="1" t="str">
        <f>E9</f>
        <v>C3S</v>
      </c>
      <c r="D90" s="1"/>
      <c r="E90" s="1">
        <f>VLOOKUP($E$9,$D$75:$F$88,2,FALSE)</f>
        <v>256.38338083915471</v>
      </c>
      <c r="F90" s="1">
        <f>VLOOKUP($E$9,$D$75:$F$88,3,FALSE)</f>
        <v>-553.36580063147017</v>
      </c>
      <c r="G90" s="1"/>
      <c r="H90" s="1" t="s">
        <v>20</v>
      </c>
      <c r="I90" s="1">
        <f>F9</f>
        <v>68</v>
      </c>
      <c r="J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ht="15.75" hidden="1" customHeight="1" x14ac:dyDescent="0.25">
      <c r="A91" s="12"/>
      <c r="B91" s="1"/>
      <c r="C91" s="1"/>
      <c r="D91" s="1"/>
      <c r="E91" s="2">
        <v>1</v>
      </c>
      <c r="F91" s="2">
        <v>1</v>
      </c>
      <c r="G91" s="1"/>
      <c r="H91" s="1" t="s">
        <v>18</v>
      </c>
      <c r="I91" s="1">
        <v>1</v>
      </c>
      <c r="J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2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66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idden="1" x14ac:dyDescent="0.25">
      <c r="A95" s="66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hidden="1" x14ac:dyDescent="0.25">
      <c r="A96" s="66"/>
      <c r="B96" s="1"/>
      <c r="C96" s="1"/>
      <c r="D96" s="1" t="str">
        <f>H90</f>
        <v>X</v>
      </c>
      <c r="E96" s="2">
        <f t="array" ref="E96:E97">MMULT(MINVERSE(E90:F91),I90:I91)</f>
        <v>0.76735588605718308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16" hidden="1" x14ac:dyDescent="0.25">
      <c r="A97" s="66"/>
      <c r="B97" s="1"/>
      <c r="C97" s="1"/>
      <c r="D97" s="1" t="str">
        <f>H91</f>
        <v>Y</v>
      </c>
      <c r="E97" s="2">
        <v>0.23264411394281681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 hidden="1" x14ac:dyDescent="0.25">
      <c r="A98" s="66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 hidden="1" x14ac:dyDescent="0.25">
      <c r="A99" s="66"/>
      <c r="B99" s="1"/>
      <c r="C99" s="1"/>
      <c r="D99" s="1">
        <f>D35</f>
        <v>0</v>
      </c>
      <c r="E99" s="1" t="str">
        <f>E35</f>
        <v>M.P. 1</v>
      </c>
      <c r="F99" s="1" t="str">
        <f>F35</f>
        <v>M.P.2</v>
      </c>
      <c r="G99" s="1"/>
      <c r="H99" s="1"/>
      <c r="I99" s="1"/>
      <c r="J99" s="1"/>
    </row>
    <row r="100" spans="1:16" hidden="1" x14ac:dyDescent="0.25">
      <c r="A100" s="66"/>
      <c r="B100" s="1"/>
      <c r="C100" s="1"/>
      <c r="D100" s="1"/>
      <c r="E100" s="1" t="str">
        <f>E36</f>
        <v>CALIZA</v>
      </c>
      <c r="F100" s="1" t="str">
        <f>F36</f>
        <v>ARCILLA</v>
      </c>
      <c r="G100" s="1" t="str">
        <f>E100</f>
        <v>CALIZA</v>
      </c>
      <c r="H100" s="1" t="str">
        <f>F100</f>
        <v>ARCILLA</v>
      </c>
      <c r="I100" s="1" t="s">
        <v>16</v>
      </c>
      <c r="J100" s="1" t="s">
        <v>15</v>
      </c>
    </row>
    <row r="101" spans="1:16" hidden="1" x14ac:dyDescent="0.25">
      <c r="A101" s="66"/>
      <c r="B101" s="1"/>
      <c r="C101" s="1"/>
      <c r="D101" s="1"/>
      <c r="E101" s="2"/>
      <c r="F101" s="2"/>
      <c r="G101" s="2">
        <f>E96</f>
        <v>0.76735588605718308</v>
      </c>
      <c r="H101" s="2">
        <f>E97</f>
        <v>0.23264411394281681</v>
      </c>
      <c r="I101" s="2"/>
      <c r="J101" s="2"/>
    </row>
    <row r="102" spans="1:16" hidden="1" x14ac:dyDescent="0.25">
      <c r="A102" s="66"/>
      <c r="B102" s="1"/>
      <c r="C102" s="1"/>
      <c r="D102" s="1" t="str">
        <f t="shared" ref="D102:D113" si="6">D15</f>
        <v>SiO2</v>
      </c>
      <c r="E102" s="8">
        <f t="shared" ref="E102:F113" si="7">E37</f>
        <v>1.5325131810193322</v>
      </c>
      <c r="F102" s="8">
        <f t="shared" si="7"/>
        <v>60.504279009846321</v>
      </c>
      <c r="G102" s="24">
        <f t="shared" ref="G102:G113" si="8">E102*$G$101</f>
        <v>1.1759830099154018</v>
      </c>
      <c r="H102" s="24">
        <f t="shared" ref="H102:H113" si="9">F102*$H$101</f>
        <v>14.075964379994668</v>
      </c>
      <c r="I102" s="4">
        <f t="shared" ref="I102:I113" si="10">G102+H102</f>
        <v>15.25194738991007</v>
      </c>
      <c r="J102" s="3">
        <f t="shared" ref="J102:J113" si="11">IF(D102&lt;&gt;"P.C.",I102+((I102*$H$59)/(100-$H$59)),0)</f>
        <v>15.25194738991007</v>
      </c>
    </row>
    <row r="103" spans="1:16" hidden="1" x14ac:dyDescent="0.25">
      <c r="A103" s="66"/>
      <c r="B103" s="1"/>
      <c r="C103" s="1"/>
      <c r="D103" s="1" t="str">
        <f t="shared" si="6"/>
        <v>Al2O3</v>
      </c>
      <c r="E103" s="8">
        <f t="shared" si="7"/>
        <v>0.61862917398945516</v>
      </c>
      <c r="F103" s="8">
        <f t="shared" si="7"/>
        <v>15.689702769853685</v>
      </c>
      <c r="G103" s="24">
        <f t="shared" si="8"/>
        <v>0.47470873794750162</v>
      </c>
      <c r="H103" s="24">
        <f t="shared" si="9"/>
        <v>3.6501169989187692</v>
      </c>
      <c r="I103" s="4">
        <f t="shared" si="10"/>
        <v>4.1248257368662706</v>
      </c>
      <c r="J103" s="3">
        <f t="shared" si="11"/>
        <v>4.1248257368662706</v>
      </c>
    </row>
    <row r="104" spans="1:16" hidden="1" x14ac:dyDescent="0.25">
      <c r="A104" s="64"/>
      <c r="B104" s="1"/>
      <c r="C104" s="1"/>
      <c r="D104" s="1" t="str">
        <f t="shared" si="6"/>
        <v>Fe2O3</v>
      </c>
      <c r="E104" s="8">
        <f t="shared" si="7"/>
        <v>0.47100175746924433</v>
      </c>
      <c r="F104" s="8">
        <f t="shared" si="7"/>
        <v>6.3955093402042884</v>
      </c>
      <c r="G104" s="24">
        <f t="shared" si="8"/>
        <v>0.36142597093730244</v>
      </c>
      <c r="H104" s="24">
        <f t="shared" si="9"/>
        <v>1.4878776036648356</v>
      </c>
      <c r="I104" s="4">
        <f t="shared" si="10"/>
        <v>1.849303574602138</v>
      </c>
      <c r="J104" s="3">
        <f t="shared" si="11"/>
        <v>1.849303574602138</v>
      </c>
    </row>
    <row r="105" spans="1:16" hidden="1" x14ac:dyDescent="0.25">
      <c r="A105" s="64"/>
      <c r="B105" s="1"/>
      <c r="C105" s="1"/>
      <c r="D105" s="1" t="str">
        <f t="shared" si="6"/>
        <v>CaO</v>
      </c>
      <c r="E105" s="8">
        <f t="shared" si="7"/>
        <v>67.015817223198596</v>
      </c>
      <c r="F105" s="8">
        <f t="shared" si="7"/>
        <v>5.1072053004509064</v>
      </c>
      <c r="G105" s="24">
        <f t="shared" si="8"/>
        <v>51.424981805153791</v>
      </c>
      <c r="H105" s="24">
        <f t="shared" si="9"/>
        <v>1.1881612518474587</v>
      </c>
      <c r="I105" s="4">
        <f t="shared" si="10"/>
        <v>52.613143057001253</v>
      </c>
      <c r="J105" s="3">
        <f t="shared" si="11"/>
        <v>52.613143057001253</v>
      </c>
    </row>
    <row r="106" spans="1:16" hidden="1" x14ac:dyDescent="0.25">
      <c r="A106" s="64"/>
      <c r="B106" s="1"/>
      <c r="C106" s="1"/>
      <c r="D106" s="1" t="str">
        <f t="shared" si="6"/>
        <v>MgO</v>
      </c>
      <c r="E106" s="8">
        <f t="shared" si="7"/>
        <v>0.66080843585237248</v>
      </c>
      <c r="F106" s="8">
        <f t="shared" si="7"/>
        <v>1.7484126253795895</v>
      </c>
      <c r="G106" s="24">
        <f t="shared" si="8"/>
        <v>0.50707524280755856</v>
      </c>
      <c r="H106" s="24">
        <f t="shared" si="9"/>
        <v>0.40675790603786871</v>
      </c>
      <c r="I106" s="4">
        <f t="shared" si="10"/>
        <v>0.91383314884542721</v>
      </c>
      <c r="J106" s="3">
        <f t="shared" si="11"/>
        <v>0.91383314884542721</v>
      </c>
    </row>
    <row r="107" spans="1:16" hidden="1" x14ac:dyDescent="0.25">
      <c r="A107" s="64"/>
      <c r="B107" s="1"/>
      <c r="C107" s="1"/>
      <c r="D107" s="1" t="str">
        <f t="shared" si="6"/>
        <v>SO3</v>
      </c>
      <c r="E107" s="8">
        <f t="shared" si="7"/>
        <v>0</v>
      </c>
      <c r="F107" s="8">
        <f t="shared" si="7"/>
        <v>2.5766080795067632</v>
      </c>
      <c r="G107" s="24">
        <f t="shared" si="8"/>
        <v>0</v>
      </c>
      <c r="H107" s="24">
        <f t="shared" si="9"/>
        <v>0.59943270363475376</v>
      </c>
      <c r="I107" s="4">
        <f t="shared" si="10"/>
        <v>0.59943270363475376</v>
      </c>
      <c r="J107" s="3">
        <f>IF(D107&lt;&gt;"P.C.",I107+((I107*$H$59)/(100-$H$59)),0)</f>
        <v>0.59943270363475376</v>
      </c>
    </row>
    <row r="108" spans="1:16" hidden="1" x14ac:dyDescent="0.25">
      <c r="A108" s="64"/>
      <c r="B108" s="1"/>
      <c r="C108" s="1"/>
      <c r="D108" s="1" t="str">
        <f t="shared" si="6"/>
        <v>P.C.</v>
      </c>
      <c r="E108" s="8">
        <f t="shared" si="7"/>
        <v>29.701230228471001</v>
      </c>
      <c r="F108" s="8">
        <f t="shared" si="7"/>
        <v>7.9782828747584427</v>
      </c>
      <c r="G108" s="24">
        <f t="shared" si="8"/>
        <v>22.791413838956757</v>
      </c>
      <c r="H108" s="24">
        <f t="shared" si="9"/>
        <v>1.8561005501833272</v>
      </c>
      <c r="I108" s="4">
        <f t="shared" si="10"/>
        <v>24.647514389140085</v>
      </c>
      <c r="J108" s="3">
        <f t="shared" si="11"/>
        <v>0</v>
      </c>
    </row>
    <row r="109" spans="1:16" hidden="1" x14ac:dyDescent="0.25">
      <c r="A109" s="64"/>
      <c r="B109" s="1"/>
      <c r="C109" s="1"/>
      <c r="D109" s="1" t="str">
        <f t="shared" si="6"/>
        <v>Resto</v>
      </c>
      <c r="E109" s="8">
        <f t="shared" si="7"/>
        <v>0</v>
      </c>
      <c r="F109" s="8">
        <f t="shared" si="7"/>
        <v>0</v>
      </c>
      <c r="G109" s="24">
        <f t="shared" si="8"/>
        <v>0</v>
      </c>
      <c r="H109" s="24">
        <f t="shared" si="9"/>
        <v>0</v>
      </c>
      <c r="I109" s="4">
        <f t="shared" si="10"/>
        <v>0</v>
      </c>
      <c r="J109" s="3">
        <f t="shared" si="11"/>
        <v>0</v>
      </c>
    </row>
    <row r="110" spans="1:16" hidden="1" x14ac:dyDescent="0.25">
      <c r="A110" s="64"/>
      <c r="B110" s="1"/>
      <c r="C110" s="1"/>
      <c r="D110" s="1" t="str">
        <f t="shared" si="6"/>
        <v>TiO2</v>
      </c>
      <c r="E110" s="8">
        <f t="shared" si="7"/>
        <v>0</v>
      </c>
      <c r="F110" s="8">
        <f t="shared" si="7"/>
        <v>0</v>
      </c>
      <c r="G110" s="24">
        <f t="shared" si="8"/>
        <v>0</v>
      </c>
      <c r="H110" s="24">
        <f t="shared" si="9"/>
        <v>0</v>
      </c>
      <c r="I110" s="4">
        <f t="shared" si="10"/>
        <v>0</v>
      </c>
      <c r="J110" s="3">
        <f t="shared" si="11"/>
        <v>0</v>
      </c>
    </row>
    <row r="111" spans="1:16" hidden="1" x14ac:dyDescent="0.25">
      <c r="A111" s="64"/>
      <c r="B111" s="1"/>
      <c r="C111" s="1"/>
      <c r="D111" s="1" t="str">
        <f t="shared" si="6"/>
        <v>Mn2O3</v>
      </c>
      <c r="E111" s="8">
        <f t="shared" si="7"/>
        <v>0</v>
      </c>
      <c r="F111" s="8">
        <f t="shared" si="7"/>
        <v>0</v>
      </c>
      <c r="G111" s="24">
        <f t="shared" si="8"/>
        <v>0</v>
      </c>
      <c r="H111" s="24">
        <f t="shared" si="9"/>
        <v>0</v>
      </c>
      <c r="I111" s="4">
        <f t="shared" si="10"/>
        <v>0</v>
      </c>
      <c r="J111" s="3">
        <f t="shared" si="11"/>
        <v>0</v>
      </c>
    </row>
    <row r="112" spans="1:16" hidden="1" x14ac:dyDescent="0.25">
      <c r="A112" s="64"/>
      <c r="B112" s="1"/>
      <c r="C112" s="1"/>
      <c r="D112" s="1" t="str">
        <f t="shared" si="6"/>
        <v>Na2O</v>
      </c>
      <c r="E112" s="8">
        <f t="shared" si="7"/>
        <v>0</v>
      </c>
      <c r="F112" s="8">
        <f t="shared" si="7"/>
        <v>0</v>
      </c>
      <c r="G112" s="24">
        <f t="shared" si="8"/>
        <v>0</v>
      </c>
      <c r="H112" s="24">
        <f t="shared" si="9"/>
        <v>0</v>
      </c>
      <c r="I112" s="4">
        <f t="shared" si="10"/>
        <v>0</v>
      </c>
      <c r="J112" s="3">
        <f t="shared" si="11"/>
        <v>0</v>
      </c>
    </row>
    <row r="113" spans="1:11" hidden="1" x14ac:dyDescent="0.25">
      <c r="A113" s="64"/>
      <c r="B113" s="1"/>
      <c r="C113" s="1"/>
      <c r="D113" s="1" t="str">
        <f t="shared" si="6"/>
        <v>K2O</v>
      </c>
      <c r="E113" s="8">
        <f t="shared" si="7"/>
        <v>0</v>
      </c>
      <c r="F113" s="8">
        <f t="shared" si="7"/>
        <v>0</v>
      </c>
      <c r="G113" s="24">
        <f t="shared" si="8"/>
        <v>0</v>
      </c>
      <c r="H113" s="24">
        <f t="shared" si="9"/>
        <v>0</v>
      </c>
      <c r="I113" s="4">
        <f t="shared" si="10"/>
        <v>0</v>
      </c>
      <c r="J113" s="3">
        <f t="shared" si="11"/>
        <v>0</v>
      </c>
    </row>
    <row r="114" spans="1:11" hidden="1" x14ac:dyDescent="0.25">
      <c r="A114" s="64"/>
      <c r="B114" s="1"/>
      <c r="C114" s="1"/>
      <c r="D114" s="1"/>
      <c r="E114" s="1"/>
      <c r="F114" s="1"/>
      <c r="G114" s="1"/>
      <c r="H114" s="1"/>
      <c r="I114" s="1"/>
      <c r="J114" s="1"/>
    </row>
    <row r="115" spans="1:11" hidden="1" x14ac:dyDescent="0.25">
      <c r="A115" s="64"/>
      <c r="B115" s="1"/>
      <c r="C115" s="1"/>
      <c r="D115" s="1" t="s">
        <v>66</v>
      </c>
      <c r="E115" s="2">
        <f t="shared" ref="E115:J115" si="12">SUM(E102:E113)</f>
        <v>100</v>
      </c>
      <c r="F115" s="2">
        <f t="shared" si="12"/>
        <v>100</v>
      </c>
      <c r="G115" s="2">
        <f t="shared" si="12"/>
        <v>76.735588605718306</v>
      </c>
      <c r="H115" s="2">
        <f t="shared" si="12"/>
        <v>23.26441139428168</v>
      </c>
      <c r="I115" s="2">
        <f t="shared" si="12"/>
        <v>99.999999999999986</v>
      </c>
      <c r="J115" s="2">
        <f t="shared" si="12"/>
        <v>75.352485610859901</v>
      </c>
    </row>
    <row r="116" spans="1:11" hidden="1" x14ac:dyDescent="0.25">
      <c r="A116" s="64"/>
      <c r="B116" s="1"/>
      <c r="C116" s="1"/>
      <c r="D116" s="1"/>
      <c r="E116" s="1"/>
      <c r="F116" s="1"/>
      <c r="G116" s="1"/>
      <c r="H116" s="1"/>
      <c r="I116" s="1"/>
      <c r="J116" s="1"/>
    </row>
    <row r="117" spans="1:11" hidden="1" x14ac:dyDescent="0.25">
      <c r="A117" s="64"/>
      <c r="D117" s="161" t="s">
        <v>13</v>
      </c>
      <c r="E117" s="161"/>
      <c r="F117" s="161"/>
      <c r="G117" s="161"/>
      <c r="H117" s="161"/>
      <c r="I117" s="161"/>
      <c r="J117" s="161"/>
    </row>
    <row r="118" spans="1:11" hidden="1" x14ac:dyDescent="0.25">
      <c r="A118" s="64"/>
      <c r="D118" s="161"/>
      <c r="E118" s="161"/>
      <c r="F118" s="161"/>
      <c r="G118" s="161"/>
      <c r="H118" s="161"/>
      <c r="I118" s="161"/>
      <c r="J118" s="161"/>
    </row>
    <row r="119" spans="1:11" hidden="1" x14ac:dyDescent="0.25">
      <c r="A119" s="64"/>
      <c r="D119" t="s">
        <v>12</v>
      </c>
      <c r="E119">
        <f t="shared" ref="E119:J119" si="13">E105/(E104+E103+E102)</f>
        <v>25.557640750670242</v>
      </c>
      <c r="F119">
        <f t="shared" si="13"/>
        <v>6.1838440111420617E-2</v>
      </c>
      <c r="G119">
        <f t="shared" si="13"/>
        <v>25.557640750670242</v>
      </c>
      <c r="H119">
        <f t="shared" si="13"/>
        <v>6.1838440111420617E-2</v>
      </c>
      <c r="I119" s="17">
        <f t="shared" si="13"/>
        <v>2.4787031441182164</v>
      </c>
      <c r="J119" s="65">
        <f t="shared" si="13"/>
        <v>2.4787031441182164</v>
      </c>
      <c r="K119" t="str">
        <f>D119</f>
        <v>MH</v>
      </c>
    </row>
    <row r="120" spans="1:11" hidden="1" x14ac:dyDescent="0.25">
      <c r="A120" s="64"/>
      <c r="D120" t="s">
        <v>11</v>
      </c>
      <c r="E120">
        <f t="shared" ref="E120:J120" si="14">E102/(E103+E104)</f>
        <v>1.4064516129032256</v>
      </c>
      <c r="F120">
        <f t="shared" si="14"/>
        <v>2.739583333333333</v>
      </c>
      <c r="G120">
        <f t="shared" si="14"/>
        <v>1.4064516129032256</v>
      </c>
      <c r="H120">
        <f t="shared" si="14"/>
        <v>2.739583333333333</v>
      </c>
      <c r="I120" s="17">
        <f t="shared" si="14"/>
        <v>2.5529992061991749</v>
      </c>
      <c r="J120" s="65">
        <f t="shared" si="14"/>
        <v>2.5529992061991749</v>
      </c>
      <c r="K120" t="str">
        <f>D120</f>
        <v>SM</v>
      </c>
    </row>
    <row r="121" spans="1:11" hidden="1" x14ac:dyDescent="0.25">
      <c r="A121" s="64"/>
      <c r="D121" t="s">
        <v>10</v>
      </c>
      <c r="E121">
        <f t="shared" ref="E121:J121" si="15">E103/E104</f>
        <v>1.3134328358208953</v>
      </c>
      <c r="F121">
        <f t="shared" si="15"/>
        <v>2.4532374100719423</v>
      </c>
      <c r="G121">
        <f t="shared" si="15"/>
        <v>1.3134328358208953</v>
      </c>
      <c r="H121">
        <f t="shared" si="15"/>
        <v>2.4532374100719423</v>
      </c>
      <c r="I121" s="17">
        <f t="shared" si="15"/>
        <v>2.2304751872626927</v>
      </c>
      <c r="J121" s="65">
        <f t="shared" si="15"/>
        <v>2.2304751872626927</v>
      </c>
      <c r="K121" t="str">
        <f>D121</f>
        <v>TM</v>
      </c>
    </row>
    <row r="122" spans="1:11" hidden="1" x14ac:dyDescent="0.25">
      <c r="A122" s="64"/>
      <c r="D122" t="s">
        <v>9</v>
      </c>
      <c r="E122">
        <f t="shared" ref="E122:J122" si="16">E102/E103</f>
        <v>2.4772727272727275</v>
      </c>
      <c r="F122">
        <f t="shared" si="16"/>
        <v>3.8563049853372431</v>
      </c>
      <c r="G122">
        <f t="shared" si="16"/>
        <v>2.4772727272727275</v>
      </c>
      <c r="H122">
        <f t="shared" si="16"/>
        <v>3.8563049853372435</v>
      </c>
      <c r="I122" s="17">
        <f t="shared" si="16"/>
        <v>3.6975979987696017</v>
      </c>
      <c r="J122" s="65">
        <f t="shared" si="16"/>
        <v>3.6975979987696017</v>
      </c>
      <c r="K122" t="str">
        <f>D122</f>
        <v>MS</v>
      </c>
    </row>
    <row r="123" spans="1:11" hidden="1" x14ac:dyDescent="0.25">
      <c r="A123" s="64"/>
    </row>
    <row r="124" spans="1:11" hidden="1" x14ac:dyDescent="0.25">
      <c r="A124" s="64"/>
      <c r="D124" s="161" t="s">
        <v>8</v>
      </c>
      <c r="E124" s="161"/>
      <c r="F124" s="161"/>
      <c r="G124" s="161"/>
      <c r="H124" s="161"/>
      <c r="I124" s="161"/>
      <c r="J124" s="161"/>
    </row>
    <row r="125" spans="1:11" hidden="1" x14ac:dyDescent="0.25">
      <c r="A125" s="64"/>
      <c r="D125" s="161"/>
      <c r="E125" s="161"/>
      <c r="F125" s="161"/>
      <c r="G125" s="161"/>
      <c r="H125" s="161"/>
      <c r="I125" s="161"/>
      <c r="J125" s="161"/>
    </row>
    <row r="126" spans="1:11" hidden="1" x14ac:dyDescent="0.25">
      <c r="A126" s="64"/>
      <c r="D126" t="s">
        <v>7</v>
      </c>
      <c r="E126">
        <f t="shared" ref="E126:J126" si="17">(E105-(1.65*E103+0.35*E104))/(2.8*E102)</f>
        <v>15.341333551769333</v>
      </c>
      <c r="F126">
        <f t="shared" si="17"/>
        <v>-0.13587724063009232</v>
      </c>
      <c r="G126">
        <f t="shared" si="17"/>
        <v>15.341333551769333</v>
      </c>
      <c r="H126">
        <f t="shared" si="17"/>
        <v>-0.13587724063009235</v>
      </c>
      <c r="I126" s="17">
        <f t="shared" si="17"/>
        <v>1.057474432270501</v>
      </c>
      <c r="J126" s="65">
        <f t="shared" si="17"/>
        <v>1.057474432270501</v>
      </c>
      <c r="K126" t="str">
        <f t="shared" ref="K126:K131" si="18">D126</f>
        <v>KSK</v>
      </c>
    </row>
    <row r="127" spans="1:11" hidden="1" x14ac:dyDescent="0.25">
      <c r="A127" s="64"/>
      <c r="D127" t="s">
        <v>6</v>
      </c>
      <c r="E127">
        <f t="shared" ref="E127:J127" si="19">(E105)/(2.8*E102+1.65*E103+0.35*E104)</f>
        <v>12.236698543097363</v>
      </c>
      <c r="F127">
        <f t="shared" si="19"/>
        <v>2.5854237998742226E-2</v>
      </c>
      <c r="G127">
        <f t="shared" si="19"/>
        <v>12.236698543097363</v>
      </c>
      <c r="H127">
        <f t="shared" si="19"/>
        <v>2.5854237998742226E-2</v>
      </c>
      <c r="I127" s="17">
        <f t="shared" si="19"/>
        <v>1.0489341439751096</v>
      </c>
      <c r="J127" s="65">
        <f t="shared" si="19"/>
        <v>1.0489341439751096</v>
      </c>
      <c r="K127" t="str">
        <f t="shared" si="18"/>
        <v>KSG</v>
      </c>
    </row>
    <row r="128" spans="1:11" hidden="1" x14ac:dyDescent="0.25">
      <c r="A128" s="64"/>
      <c r="D128" t="s">
        <v>5</v>
      </c>
      <c r="E128">
        <f t="shared" ref="E128:J128" si="20">(E105)/(2.8*E102+1.1*E103+0.7*E104)</f>
        <v>12.641559474870707</v>
      </c>
      <c r="F128">
        <f t="shared" si="20"/>
        <v>2.6718659734257653E-2</v>
      </c>
      <c r="G128">
        <f t="shared" si="20"/>
        <v>12.641559474870707</v>
      </c>
      <c r="H128">
        <f t="shared" si="20"/>
        <v>2.6718659734257657E-2</v>
      </c>
      <c r="I128" s="17">
        <f t="shared" si="20"/>
        <v>1.0839740112740137</v>
      </c>
      <c r="J128" s="65">
        <f t="shared" si="20"/>
        <v>1.0839740112740137</v>
      </c>
      <c r="K128" t="str">
        <f t="shared" si="18"/>
        <v>KSt</v>
      </c>
    </row>
    <row r="129" spans="1:11" hidden="1" x14ac:dyDescent="0.25">
      <c r="A129" s="64"/>
      <c r="D129" t="s">
        <v>4</v>
      </c>
      <c r="E129">
        <f t="shared" ref="E129:J129" si="21">(E105)/(2.8*E102+1.18*E103+0.65*E104)</f>
        <v>12.580002375328259</v>
      </c>
      <c r="F129">
        <f t="shared" si="21"/>
        <v>2.6588545846078671E-2</v>
      </c>
      <c r="G129">
        <f t="shared" si="21"/>
        <v>12.580002375328258</v>
      </c>
      <c r="H129">
        <f t="shared" si="21"/>
        <v>2.6588545846078671E-2</v>
      </c>
      <c r="I129" s="17">
        <f t="shared" si="21"/>
        <v>1.0786953327159534</v>
      </c>
      <c r="J129" s="65">
        <f t="shared" si="21"/>
        <v>1.0786953327159534</v>
      </c>
      <c r="K129" t="str">
        <f t="shared" si="18"/>
        <v>KSt I</v>
      </c>
    </row>
    <row r="130" spans="1:11" hidden="1" x14ac:dyDescent="0.25">
      <c r="A130" s="64"/>
      <c r="D130" t="s">
        <v>3</v>
      </c>
      <c r="E130">
        <f t="shared" ref="E130:J130" si="22">((E105+0.75*E106))/(2.8*E102+1.18*E103+0.65*E104)</f>
        <v>12.673036065400707</v>
      </c>
      <c r="F130">
        <f t="shared" si="22"/>
        <v>3.3415334644396166E-2</v>
      </c>
      <c r="G130">
        <f t="shared" si="22"/>
        <v>12.673036065400707</v>
      </c>
      <c r="H130">
        <f t="shared" si="22"/>
        <v>3.3415334644396159E-2</v>
      </c>
      <c r="I130" s="17">
        <f t="shared" si="22"/>
        <v>1.0927471574397596</v>
      </c>
      <c r="J130" s="65">
        <f t="shared" si="22"/>
        <v>1.0927471574397596</v>
      </c>
      <c r="K130" t="str">
        <f t="shared" si="18"/>
        <v>KSt II</v>
      </c>
    </row>
    <row r="131" spans="1:11" hidden="1" x14ac:dyDescent="0.25">
      <c r="A131" s="64"/>
      <c r="D131" t="s">
        <v>2</v>
      </c>
      <c r="E131">
        <f t="shared" ref="E131:J131" si="23">(E105-0.7*E107)/(2.8*E102+1.2*E103+0.65*E104)</f>
        <v>12.550852478441184</v>
      </c>
      <c r="F131">
        <f t="shared" si="23"/>
        <v>1.7170666379691744E-2</v>
      </c>
      <c r="G131">
        <f t="shared" si="23"/>
        <v>12.550852478441184</v>
      </c>
      <c r="H131">
        <f t="shared" si="23"/>
        <v>1.7170666379691744E-2</v>
      </c>
      <c r="I131" s="17">
        <f t="shared" si="23"/>
        <v>1.0682855967565199</v>
      </c>
      <c r="J131" s="65">
        <f t="shared" si="23"/>
        <v>1.0682855967565199</v>
      </c>
      <c r="K131" t="str">
        <f t="shared" si="18"/>
        <v>LSF</v>
      </c>
    </row>
    <row r="132" spans="1:11" hidden="1" x14ac:dyDescent="0.25">
      <c r="A132" s="64"/>
    </row>
    <row r="133" spans="1:11" x14ac:dyDescent="0.25">
      <c r="A133" s="64"/>
    </row>
  </sheetData>
  <mergeCells count="20">
    <mergeCell ref="D117:J118"/>
    <mergeCell ref="D124:J125"/>
    <mergeCell ref="M21:N21"/>
    <mergeCell ref="M22:N22"/>
    <mergeCell ref="M23:N23"/>
    <mergeCell ref="I25:U25"/>
    <mergeCell ref="L29:O29"/>
    <mergeCell ref="L28:O28"/>
    <mergeCell ref="F53:G53"/>
    <mergeCell ref="H53:I53"/>
    <mergeCell ref="L27:O27"/>
    <mergeCell ref="B7:G7"/>
    <mergeCell ref="C5:G5"/>
    <mergeCell ref="I5:U5"/>
    <mergeCell ref="I7:U7"/>
    <mergeCell ref="R28:V30"/>
    <mergeCell ref="O9:P9"/>
    <mergeCell ref="O10:P10"/>
    <mergeCell ref="I13:U13"/>
    <mergeCell ref="I19:U1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134"/>
  <sheetViews>
    <sheetView topLeftCell="A10" zoomScale="98" zoomScaleNormal="98" workbookViewId="0">
      <selection activeCell="H95" sqref="H95"/>
    </sheetView>
  </sheetViews>
  <sheetFormatPr baseColWidth="10" defaultRowHeight="15" x14ac:dyDescent="0.25"/>
  <cols>
    <col min="1" max="2" width="7.7109375" bestFit="1" customWidth="1"/>
    <col min="3" max="3" width="6.5703125" bestFit="1" customWidth="1"/>
    <col min="4" max="4" width="6.7109375" bestFit="1" customWidth="1"/>
    <col min="5" max="5" width="12.140625" bestFit="1" customWidth="1"/>
    <col min="6" max="6" width="9.5703125" bestFit="1" customWidth="1"/>
    <col min="7" max="7" width="13.140625" bestFit="1" customWidth="1"/>
    <col min="8" max="8" width="8" customWidth="1"/>
    <col min="9" max="9" width="3.5703125" customWidth="1"/>
    <col min="10" max="10" width="7.7109375" bestFit="1" customWidth="1"/>
    <col min="11" max="11" width="15.42578125" bestFit="1" customWidth="1"/>
    <col min="12" max="12" width="8.7109375" bestFit="1" customWidth="1"/>
    <col min="13" max="13" width="8.140625" bestFit="1" customWidth="1"/>
    <col min="14" max="15" width="7.7109375" bestFit="1" customWidth="1"/>
    <col min="16" max="16" width="7.42578125" bestFit="1" customWidth="1"/>
    <col min="20" max="20" width="11.85546875" bestFit="1" customWidth="1"/>
    <col min="23" max="23" width="3" customWidth="1"/>
  </cols>
  <sheetData>
    <row r="1" spans="2:23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2:23" x14ac:dyDescent="0.25">
      <c r="B2" s="1"/>
      <c r="C2" s="1" t="s">
        <v>63</v>
      </c>
      <c r="D2" s="1" t="s">
        <v>62</v>
      </c>
      <c r="E2" s="1" t="s">
        <v>61</v>
      </c>
      <c r="F2" s="1" t="s">
        <v>60</v>
      </c>
      <c r="G2" s="1" t="s">
        <v>29</v>
      </c>
      <c r="H2" s="1" t="s">
        <v>28</v>
      </c>
      <c r="I2" s="1" t="s">
        <v>59</v>
      </c>
      <c r="J2" s="1" t="s">
        <v>26</v>
      </c>
      <c r="K2" s="1" t="s">
        <v>25</v>
      </c>
      <c r="L2" s="1" t="s">
        <v>24</v>
      </c>
      <c r="M2" s="1" t="s">
        <v>23</v>
      </c>
      <c r="N2" s="1" t="s">
        <v>22</v>
      </c>
    </row>
    <row r="3" spans="2:23" ht="15.75" thickBot="1" x14ac:dyDescent="0.3"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2:23" x14ac:dyDescent="0.25">
      <c r="B4" s="1"/>
      <c r="C4" s="1"/>
      <c r="D4" s="1"/>
      <c r="E4" s="1"/>
      <c r="F4" s="1"/>
      <c r="G4" s="1"/>
      <c r="H4" s="1"/>
      <c r="I4" s="26"/>
      <c r="J4" s="27"/>
      <c r="K4" s="27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1"/>
    </row>
    <row r="5" spans="2:23" ht="18.75" x14ac:dyDescent="0.25">
      <c r="B5" s="1"/>
      <c r="C5" s="255" t="s">
        <v>68</v>
      </c>
      <c r="D5" s="255"/>
      <c r="E5" s="255"/>
      <c r="F5" s="255"/>
      <c r="G5" s="255"/>
      <c r="H5" s="255"/>
      <c r="I5" s="59"/>
      <c r="J5" s="242" t="s">
        <v>71</v>
      </c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31"/>
    </row>
    <row r="6" spans="2:23" ht="18.75" x14ac:dyDescent="0.25">
      <c r="B6" s="1"/>
      <c r="C6" s="21"/>
      <c r="D6" s="21"/>
      <c r="E6" s="21"/>
      <c r="F6" s="21"/>
      <c r="G6" s="21"/>
      <c r="H6" s="21"/>
      <c r="I6" s="60"/>
      <c r="J6" s="61"/>
      <c r="K6" s="58"/>
      <c r="L6" s="62"/>
      <c r="M6" s="62"/>
      <c r="N6" s="58"/>
      <c r="O6" s="58"/>
      <c r="P6" s="30"/>
      <c r="Q6" s="30"/>
      <c r="R6" s="30"/>
      <c r="S6" s="30"/>
      <c r="T6" s="30"/>
      <c r="U6" s="30"/>
      <c r="V6" s="30"/>
      <c r="W6" s="31"/>
    </row>
    <row r="7" spans="2:23" x14ac:dyDescent="0.25">
      <c r="B7" s="1"/>
      <c r="C7" s="1"/>
      <c r="D7" s="1"/>
      <c r="E7" s="1"/>
      <c r="F7" s="1" t="s">
        <v>67</v>
      </c>
      <c r="G7" s="1"/>
      <c r="H7" s="1"/>
      <c r="I7" s="63"/>
      <c r="J7" s="256" t="s">
        <v>80</v>
      </c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31"/>
    </row>
    <row r="8" spans="2:23" ht="15.75" thickBot="1" x14ac:dyDescent="0.3">
      <c r="B8" s="1"/>
      <c r="C8" s="1"/>
      <c r="D8" s="1"/>
      <c r="E8" s="22" t="s">
        <v>63</v>
      </c>
      <c r="F8" s="14">
        <v>50</v>
      </c>
      <c r="G8" s="1"/>
      <c r="H8" s="1"/>
      <c r="I8" s="63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1"/>
    </row>
    <row r="9" spans="2:23" x14ac:dyDescent="0.25">
      <c r="B9" s="1"/>
      <c r="C9" s="1"/>
      <c r="D9" s="1"/>
      <c r="E9" s="22" t="s">
        <v>62</v>
      </c>
      <c r="F9" s="14">
        <v>25</v>
      </c>
      <c r="G9" s="1"/>
      <c r="H9" s="1"/>
      <c r="I9" s="63"/>
      <c r="J9" s="30"/>
      <c r="K9" s="30"/>
      <c r="L9" s="30"/>
      <c r="M9" s="30"/>
      <c r="N9" s="25"/>
      <c r="O9" s="38" t="str">
        <f>E12</f>
        <v>CALIZA</v>
      </c>
      <c r="P9" s="39" t="str">
        <f t="shared" ref="P9:Q11" si="0">D97</f>
        <v>X</v>
      </c>
      <c r="Q9" s="272">
        <f t="shared" si="0"/>
        <v>0.73754213261428858</v>
      </c>
      <c r="R9" s="273"/>
      <c r="S9" s="30"/>
      <c r="T9" s="30"/>
      <c r="U9" s="30"/>
      <c r="V9" s="30"/>
      <c r="W9" s="31"/>
    </row>
    <row r="10" spans="2:23" x14ac:dyDescent="0.25">
      <c r="B10" s="1"/>
      <c r="C10" s="21"/>
      <c r="D10" s="21"/>
      <c r="E10" s="1"/>
      <c r="F10" s="1"/>
      <c r="G10" s="1"/>
      <c r="H10" s="21"/>
      <c r="I10" s="63"/>
      <c r="J10" s="30"/>
      <c r="K10" s="30"/>
      <c r="L10" s="30"/>
      <c r="M10" s="30"/>
      <c r="N10" s="25"/>
      <c r="O10" s="57" t="str">
        <f>F12</f>
        <v>ARCILLA</v>
      </c>
      <c r="P10" s="35" t="str">
        <f t="shared" si="0"/>
        <v>Y</v>
      </c>
      <c r="Q10" s="274">
        <f t="shared" si="0"/>
        <v>0.16389723790029187</v>
      </c>
      <c r="R10" s="275"/>
      <c r="S10" s="30"/>
      <c r="T10" s="30"/>
      <c r="U10" s="30"/>
      <c r="V10" s="30"/>
      <c r="W10" s="31"/>
    </row>
    <row r="11" spans="2:23" ht="15.75" thickBot="1" x14ac:dyDescent="0.3">
      <c r="B11" s="1"/>
      <c r="C11" s="1"/>
      <c r="D11" s="1"/>
      <c r="E11" s="1" t="s">
        <v>37</v>
      </c>
      <c r="F11" s="1" t="s">
        <v>36</v>
      </c>
      <c r="G11" s="1" t="s">
        <v>55</v>
      </c>
      <c r="I11" s="63"/>
      <c r="J11" s="30"/>
      <c r="K11" s="30"/>
      <c r="L11" s="30"/>
      <c r="M11" s="30"/>
      <c r="N11" s="25"/>
      <c r="O11" s="41" t="str">
        <f>G12</f>
        <v>ARENA</v>
      </c>
      <c r="P11" s="42" t="str">
        <f t="shared" si="0"/>
        <v>Z</v>
      </c>
      <c r="Q11" s="276">
        <f t="shared" si="0"/>
        <v>9.856062948541966E-2</v>
      </c>
      <c r="R11" s="277"/>
      <c r="S11" s="30"/>
      <c r="T11" s="30"/>
      <c r="U11" s="30"/>
      <c r="V11" s="30"/>
      <c r="W11" s="31"/>
    </row>
    <row r="12" spans="2:23" x14ac:dyDescent="0.25">
      <c r="B12" s="1"/>
      <c r="C12" s="1"/>
      <c r="D12" s="1"/>
      <c r="E12" s="1" t="s">
        <v>35</v>
      </c>
      <c r="F12" s="1" t="s">
        <v>34</v>
      </c>
      <c r="G12" s="1" t="s">
        <v>54</v>
      </c>
      <c r="I12" s="63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1"/>
    </row>
    <row r="13" spans="2:23" x14ac:dyDescent="0.25">
      <c r="B13" s="1"/>
      <c r="C13" s="1"/>
      <c r="D13" s="1" t="s">
        <v>33</v>
      </c>
      <c r="E13" s="14">
        <v>3.6</v>
      </c>
      <c r="F13" s="14">
        <v>59.2</v>
      </c>
      <c r="G13" s="14">
        <v>96.6</v>
      </c>
      <c r="I13" s="29"/>
      <c r="J13" s="257" t="s">
        <v>79</v>
      </c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31"/>
    </row>
    <row r="14" spans="2:23" ht="15.75" thickBot="1" x14ac:dyDescent="0.3">
      <c r="B14" s="1"/>
      <c r="C14" s="1"/>
      <c r="D14" s="1" t="s">
        <v>32</v>
      </c>
      <c r="E14" s="14">
        <v>3.5</v>
      </c>
      <c r="F14" s="14">
        <v>28.1</v>
      </c>
      <c r="G14" s="14">
        <v>2.1</v>
      </c>
      <c r="I14" s="29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1"/>
    </row>
    <row r="15" spans="2:23" x14ac:dyDescent="0.25">
      <c r="B15" s="1"/>
      <c r="C15" s="1"/>
      <c r="D15" s="1" t="s">
        <v>31</v>
      </c>
      <c r="E15" s="14">
        <v>2.7</v>
      </c>
      <c r="F15" s="14">
        <v>11.6</v>
      </c>
      <c r="G15" s="14">
        <v>1.3</v>
      </c>
      <c r="I15" s="29"/>
      <c r="K15" s="38" t="str">
        <f>D13</f>
        <v>SiO2</v>
      </c>
      <c r="L15" s="39" t="str">
        <f>D14</f>
        <v>Al2O3</v>
      </c>
      <c r="M15" s="39" t="str">
        <f>D15</f>
        <v>Fe2O3</v>
      </c>
      <c r="N15" s="39" t="str">
        <f>D16</f>
        <v>CaO</v>
      </c>
      <c r="O15" s="39" t="str">
        <f>D17</f>
        <v>MgO</v>
      </c>
      <c r="P15" s="39" t="str">
        <f>D18</f>
        <v>SO3</v>
      </c>
      <c r="Q15" s="39" t="str">
        <f>D19</f>
        <v>N.D.</v>
      </c>
      <c r="R15" s="39" t="str">
        <f>D20</f>
        <v>Resto</v>
      </c>
      <c r="S15" s="39" t="str">
        <f>D21</f>
        <v>TiO2</v>
      </c>
      <c r="T15" s="39" t="str">
        <f>D22</f>
        <v>Mn2O3</v>
      </c>
      <c r="U15" s="39" t="str">
        <f>D23</f>
        <v>Na2O</v>
      </c>
      <c r="V15" s="39" t="str">
        <f>D24</f>
        <v>K2O</v>
      </c>
      <c r="W15" s="31"/>
    </row>
    <row r="16" spans="2:23" x14ac:dyDescent="0.25">
      <c r="B16" s="1"/>
      <c r="C16" s="1"/>
      <c r="D16" s="1" t="s">
        <v>30</v>
      </c>
      <c r="E16" s="14">
        <v>90.2</v>
      </c>
      <c r="F16" s="14">
        <v>1.1000000000000001</v>
      </c>
      <c r="G16" s="14">
        <v>0</v>
      </c>
      <c r="I16" s="29"/>
      <c r="J16" s="45" t="s">
        <v>16</v>
      </c>
      <c r="K16" s="75">
        <f>HLOOKUP($J$16,$D$102:$L$115,3,FALSE)</f>
        <v>21.878824969400256</v>
      </c>
      <c r="L16" s="75">
        <f>HLOOKUP($J$16,$D$102:$L$115,4,FALSE)</f>
        <v>7.3938871710675924</v>
      </c>
      <c r="M16" s="75">
        <f>HLOOKUP($J$16,$D$102:$L$115,5,FALSE)</f>
        <v>4.0207005360330106</v>
      </c>
      <c r="N16" s="75">
        <f>HLOOKUP($J$16,$D$102:$L$115,6,FALSE)</f>
        <v>66.706587323499164</v>
      </c>
      <c r="O16" s="75">
        <f>HLOOKUP($J$16,$D$102:$L$115,7,FALSE)</f>
        <v>0</v>
      </c>
      <c r="P16" s="75">
        <f>HLOOKUP($J$16,$D$102:$L$115,8,FALSE)</f>
        <v>0</v>
      </c>
      <c r="Q16" s="75">
        <f>HLOOKUP($J$16,$D$102:$L$115,9,FALSE)</f>
        <v>0</v>
      </c>
      <c r="R16" s="75">
        <f>HLOOKUP($J$16,$D$102:$L$115,10,FALSE)</f>
        <v>0</v>
      </c>
      <c r="S16" s="75">
        <f>HLOOKUP($J$16,$D$102:$L$115,11,FALSE)</f>
        <v>0</v>
      </c>
      <c r="T16" s="75">
        <f>HLOOKUP($J$16,$D$102:$L$115,12,FALSE)</f>
        <v>0</v>
      </c>
      <c r="U16" s="75">
        <f>HLOOKUP($J$16,$D$102:$L$115,13,FALSE)</f>
        <v>0</v>
      </c>
      <c r="V16" s="75">
        <f>HLOOKUP($J$16,$D$102:$L$115,14,FALSE)</f>
        <v>0</v>
      </c>
      <c r="W16" s="31"/>
    </row>
    <row r="17" spans="1:23" ht="15.75" thickBot="1" x14ac:dyDescent="0.3">
      <c r="B17" s="1"/>
      <c r="C17" s="1"/>
      <c r="D17" s="1" t="s">
        <v>29</v>
      </c>
      <c r="E17" s="14">
        <v>0</v>
      </c>
      <c r="F17" s="14">
        <v>0</v>
      </c>
      <c r="G17" s="14">
        <v>0</v>
      </c>
      <c r="I17" s="29"/>
      <c r="J17" s="47" t="s">
        <v>15</v>
      </c>
      <c r="K17" s="74">
        <f>HLOOKUP($J$17,$D$102:$L$115,3,FALSE)</f>
        <v>21.878824969400256</v>
      </c>
      <c r="L17" s="74">
        <f>HLOOKUP($J$17,$D$102:$L$115,4,FALSE)</f>
        <v>7.3938871710675924</v>
      </c>
      <c r="M17" s="74">
        <f>HLOOKUP($J$17,$D$102:$L$115,5,FALSE)</f>
        <v>4.0207005360330106</v>
      </c>
      <c r="N17" s="74">
        <f>HLOOKUP($J$17,$D$102:$L$115,6,FALSE)</f>
        <v>66.706587323499164</v>
      </c>
      <c r="O17" s="74">
        <f>HLOOKUP($J$17,$D$102:$L$115,7,FALSE)</f>
        <v>0</v>
      </c>
      <c r="P17" s="74">
        <f>HLOOKUP($J$17,$D$102:$L$115,8,FALSE)</f>
        <v>0</v>
      </c>
      <c r="Q17" s="74">
        <f>HLOOKUP($J$17,$D$102:$L$115,9,FALSE)</f>
        <v>0</v>
      </c>
      <c r="R17" s="74">
        <f>HLOOKUP($J$17,$D$102:$L$115,10,FALSE)</f>
        <v>0</v>
      </c>
      <c r="S17" s="74">
        <f>HLOOKUP($J$17,$D$102:$L$115,11,FALSE)</f>
        <v>0</v>
      </c>
      <c r="T17" s="74">
        <f>HLOOKUP($J$17,$D$102:$L$115,12,FALSE)</f>
        <v>0</v>
      </c>
      <c r="U17" s="74">
        <f>HLOOKUP($J$17,$D$102:$L$115,13,FALSE)</f>
        <v>0</v>
      </c>
      <c r="V17" s="74">
        <f>HLOOKUP($J$17,$D$102:$L$115,14,FALSE)</f>
        <v>0</v>
      </c>
      <c r="W17" s="31"/>
    </row>
    <row r="18" spans="1:23" x14ac:dyDescent="0.25">
      <c r="B18" s="1"/>
      <c r="C18" s="1"/>
      <c r="D18" s="1" t="s">
        <v>28</v>
      </c>
      <c r="E18" s="14">
        <v>0</v>
      </c>
      <c r="F18" s="14">
        <v>0</v>
      </c>
      <c r="G18" s="14">
        <v>0</v>
      </c>
      <c r="I18" s="29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1"/>
    </row>
    <row r="19" spans="1:23" x14ac:dyDescent="0.25">
      <c r="B19" s="1"/>
      <c r="C19" s="1"/>
      <c r="D19" s="1" t="s">
        <v>59</v>
      </c>
      <c r="E19" s="14">
        <v>0</v>
      </c>
      <c r="F19" s="14">
        <v>0</v>
      </c>
      <c r="G19" s="14">
        <v>0</v>
      </c>
      <c r="I19" s="29"/>
      <c r="J19" s="256" t="s">
        <v>13</v>
      </c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31"/>
    </row>
    <row r="20" spans="1:23" ht="15.75" thickBot="1" x14ac:dyDescent="0.3">
      <c r="B20" s="1"/>
      <c r="C20" s="1"/>
      <c r="D20" s="1" t="s">
        <v>26</v>
      </c>
      <c r="E20" s="14">
        <v>0</v>
      </c>
      <c r="F20" s="14">
        <v>0</v>
      </c>
      <c r="G20" s="14">
        <v>0</v>
      </c>
      <c r="I20" s="29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1"/>
    </row>
    <row r="21" spans="1:23" x14ac:dyDescent="0.25">
      <c r="B21" s="1"/>
      <c r="C21" s="1"/>
      <c r="D21" s="1" t="s">
        <v>25</v>
      </c>
      <c r="E21" s="14">
        <v>0</v>
      </c>
      <c r="F21" s="14">
        <v>0</v>
      </c>
      <c r="G21" s="14">
        <v>0</v>
      </c>
      <c r="I21" s="29"/>
      <c r="J21" s="30"/>
      <c r="K21" s="30"/>
      <c r="L21" s="30"/>
      <c r="M21" s="30"/>
      <c r="N21" s="204" t="s">
        <v>73</v>
      </c>
      <c r="O21" s="205"/>
      <c r="P21" s="205"/>
      <c r="Q21" s="39" t="str">
        <f>D121</f>
        <v>MH</v>
      </c>
      <c r="R21" s="70">
        <f>L121</f>
        <v>2.0035971671531883</v>
      </c>
      <c r="S21" s="25"/>
      <c r="T21" s="30"/>
      <c r="U21" s="30"/>
      <c r="V21" s="30"/>
      <c r="W21" s="31"/>
    </row>
    <row r="22" spans="1:23" x14ac:dyDescent="0.25">
      <c r="B22" s="1"/>
      <c r="C22" s="1"/>
      <c r="D22" s="1" t="s">
        <v>24</v>
      </c>
      <c r="E22" s="14">
        <v>0</v>
      </c>
      <c r="F22" s="14">
        <v>0</v>
      </c>
      <c r="G22" s="14">
        <v>0</v>
      </c>
      <c r="I22" s="29"/>
      <c r="J22" s="30"/>
      <c r="K22" s="30"/>
      <c r="L22" s="30"/>
      <c r="M22" s="30"/>
      <c r="N22" s="265" t="s">
        <v>72</v>
      </c>
      <c r="O22" s="270"/>
      <c r="P22" s="266"/>
      <c r="Q22" s="35" t="str">
        <f>D122</f>
        <v>SM</v>
      </c>
      <c r="R22" s="68">
        <f>L122</f>
        <v>1.9167424641881921</v>
      </c>
      <c r="S22" s="25"/>
      <c r="T22" s="30"/>
      <c r="U22" s="30"/>
      <c r="V22" s="30"/>
      <c r="W22" s="31"/>
    </row>
    <row r="23" spans="1:23" ht="15.75" thickBot="1" x14ac:dyDescent="0.3">
      <c r="B23" s="1"/>
      <c r="C23" s="1"/>
      <c r="D23" s="1" t="s">
        <v>23</v>
      </c>
      <c r="E23" s="14">
        <v>0</v>
      </c>
      <c r="F23" s="14">
        <v>0</v>
      </c>
      <c r="G23" s="14">
        <v>0</v>
      </c>
      <c r="I23" s="29"/>
      <c r="J23" s="30"/>
      <c r="K23" s="30"/>
      <c r="L23" s="30"/>
      <c r="M23" s="30"/>
      <c r="N23" s="206" t="s">
        <v>74</v>
      </c>
      <c r="O23" s="207"/>
      <c r="P23" s="207"/>
      <c r="Q23" s="42" t="str">
        <f>D123</f>
        <v>TM</v>
      </c>
      <c r="R23" s="69">
        <f>L123</f>
        <v>1.8389549544425179</v>
      </c>
      <c r="S23" s="25"/>
      <c r="T23" s="30"/>
      <c r="U23" s="30"/>
      <c r="V23" s="30"/>
      <c r="W23" s="31"/>
    </row>
    <row r="24" spans="1:23" x14ac:dyDescent="0.25">
      <c r="B24" s="1"/>
      <c r="C24" s="1"/>
      <c r="D24" s="1" t="s">
        <v>22</v>
      </c>
      <c r="E24" s="14">
        <v>0</v>
      </c>
      <c r="F24" s="14">
        <v>0</v>
      </c>
      <c r="G24" s="14">
        <v>0</v>
      </c>
      <c r="I24" s="29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1"/>
    </row>
    <row r="25" spans="1:23" x14ac:dyDescent="0.25">
      <c r="B25" s="1"/>
      <c r="C25" s="1"/>
      <c r="D25" s="1"/>
      <c r="E25" s="1"/>
      <c r="F25" s="1"/>
      <c r="G25" s="1"/>
      <c r="I25" s="29"/>
      <c r="J25" s="256" t="s">
        <v>75</v>
      </c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31"/>
    </row>
    <row r="26" spans="1:23" ht="15.75" thickBot="1" x14ac:dyDescent="0.3">
      <c r="B26" s="1"/>
      <c r="C26" s="1"/>
      <c r="D26" s="1" t="s">
        <v>66</v>
      </c>
      <c r="E26" s="13">
        <f>SUM(E13:E24)</f>
        <v>100</v>
      </c>
      <c r="F26" s="13">
        <f>SUM(F13:F24)</f>
        <v>100</v>
      </c>
      <c r="G26" s="13">
        <f>SUM(G13:G24)</f>
        <v>99.999999999999986</v>
      </c>
      <c r="I26" s="29"/>
      <c r="J26" s="30"/>
      <c r="K26" s="30"/>
      <c r="L26" s="58"/>
      <c r="M26" s="58"/>
      <c r="N26" s="58"/>
      <c r="O26" s="58"/>
      <c r="P26" s="58"/>
      <c r="Q26" s="58"/>
      <c r="R26" s="30"/>
      <c r="S26" s="30"/>
      <c r="T26" s="30"/>
      <c r="U26" s="30"/>
      <c r="V26" s="30"/>
      <c r="W26" s="31"/>
    </row>
    <row r="27" spans="1:23" ht="15" customHeight="1" x14ac:dyDescent="0.25">
      <c r="A27" s="1"/>
      <c r="B27" s="1"/>
      <c r="C27" s="1"/>
      <c r="D27" s="1"/>
      <c r="E27" s="1"/>
      <c r="F27" s="1"/>
      <c r="G27" s="1"/>
      <c r="H27" s="1"/>
      <c r="I27" s="29"/>
      <c r="J27" s="30"/>
      <c r="K27" s="30"/>
      <c r="L27" s="30"/>
      <c r="M27" s="25"/>
      <c r="N27" s="263" t="s">
        <v>76</v>
      </c>
      <c r="O27" s="271"/>
      <c r="P27" s="264"/>
      <c r="Q27" s="39" t="str">
        <f>D128</f>
        <v>KSK</v>
      </c>
      <c r="R27" s="70">
        <f>L128</f>
        <v>0.8667778806006492</v>
      </c>
      <c r="S27" s="30"/>
      <c r="T27" s="30"/>
      <c r="U27" s="30"/>
      <c r="V27" s="30"/>
      <c r="W27" s="31"/>
    </row>
    <row r="28" spans="1:23" ht="15" customHeight="1" x14ac:dyDescent="0.25">
      <c r="A28" s="1"/>
      <c r="B28" s="1"/>
      <c r="C28" s="1"/>
      <c r="D28" s="1"/>
      <c r="E28" s="1"/>
      <c r="F28" s="1"/>
      <c r="G28" s="1"/>
      <c r="H28" s="1"/>
      <c r="I28" s="29"/>
      <c r="J28" s="30"/>
      <c r="K28" s="30"/>
      <c r="L28" s="30"/>
      <c r="M28" s="25"/>
      <c r="N28" s="265" t="s">
        <v>77</v>
      </c>
      <c r="O28" s="270"/>
      <c r="P28" s="266"/>
      <c r="Q28" s="35" t="str">
        <f>D132</f>
        <v>KSt II</v>
      </c>
      <c r="R28" s="68">
        <f>L132</f>
        <v>0.91883677892499516</v>
      </c>
      <c r="S28" s="257" t="str">
        <f>IF(95&lt;R29*100,"PORTLAND  DE ALTA CALIDAD",IF(90&lt;R29*100,"PORTLAND NORMAL", ANALIZAR))</f>
        <v>PORTLAND NORMAL</v>
      </c>
      <c r="T28" s="257"/>
      <c r="U28" s="257"/>
      <c r="V28" s="30"/>
      <c r="W28" s="31"/>
    </row>
    <row r="29" spans="1:23" ht="15" customHeight="1" thickBot="1" x14ac:dyDescent="0.3">
      <c r="A29" s="1"/>
      <c r="B29" s="1"/>
      <c r="C29" s="1"/>
      <c r="D29" s="1"/>
      <c r="E29" s="1"/>
      <c r="F29" s="1"/>
      <c r="G29" s="1"/>
      <c r="H29" s="1"/>
      <c r="I29" s="29"/>
      <c r="J29" s="30"/>
      <c r="K29" s="30"/>
      <c r="L29" s="30"/>
      <c r="M29" s="25"/>
      <c r="N29" s="267" t="s">
        <v>78</v>
      </c>
      <c r="O29" s="269"/>
      <c r="P29" s="268"/>
      <c r="Q29" s="42" t="str">
        <f>D133</f>
        <v>LSF</v>
      </c>
      <c r="R29" s="69">
        <f>L133</f>
        <v>0.91696899293780532</v>
      </c>
      <c r="S29" s="257"/>
      <c r="T29" s="257"/>
      <c r="U29" s="257"/>
      <c r="V29" s="62"/>
      <c r="W29" s="31"/>
    </row>
    <row r="30" spans="1:23" ht="15" customHeight="1" x14ac:dyDescent="0.25">
      <c r="A30" s="1"/>
      <c r="B30" s="1"/>
      <c r="C30" s="1"/>
      <c r="D30" s="1"/>
      <c r="E30" s="1"/>
      <c r="F30" s="1"/>
      <c r="G30" s="1"/>
      <c r="H30" s="1"/>
      <c r="I30" s="29"/>
      <c r="J30" s="30"/>
      <c r="K30" s="30"/>
      <c r="L30" s="58"/>
      <c r="M30" s="58"/>
      <c r="N30" s="58"/>
      <c r="O30" s="58"/>
      <c r="P30" s="58"/>
      <c r="Q30" s="58"/>
      <c r="R30" s="30"/>
      <c r="S30" s="257"/>
      <c r="T30" s="257"/>
      <c r="U30" s="257"/>
      <c r="V30" s="62"/>
      <c r="W30" s="31"/>
    </row>
    <row r="31" spans="1:23" ht="15" customHeight="1" x14ac:dyDescent="0.25">
      <c r="A31" s="1"/>
      <c r="B31" s="1"/>
      <c r="C31" s="1"/>
      <c r="H31" s="1"/>
      <c r="I31" s="29"/>
      <c r="J31" s="30"/>
      <c r="K31" s="30"/>
      <c r="L31" s="58"/>
      <c r="M31" s="58"/>
      <c r="N31" s="58"/>
      <c r="O31" s="58"/>
      <c r="P31" s="58"/>
      <c r="Q31" s="58"/>
      <c r="R31" s="30"/>
      <c r="S31" s="30"/>
      <c r="T31" s="30"/>
      <c r="U31" s="30"/>
      <c r="V31" s="30"/>
      <c r="W31" s="31"/>
    </row>
    <row r="32" spans="1:23" ht="15" customHeight="1" thickBot="1" x14ac:dyDescent="0.3">
      <c r="A32" s="1"/>
      <c r="B32" s="1"/>
      <c r="C32" s="1"/>
      <c r="H32" s="1"/>
      <c r="I32" s="32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4"/>
    </row>
    <row r="33" spans="1:23" ht="15" customHeight="1" x14ac:dyDescent="0.25">
      <c r="A33" s="17"/>
      <c r="B33" s="1"/>
      <c r="C33" s="1"/>
      <c r="H33" s="1"/>
      <c r="I33" s="1"/>
      <c r="J33" s="1"/>
      <c r="K33" s="1"/>
      <c r="L33" s="1"/>
      <c r="T33" s="1"/>
      <c r="U33" s="1"/>
      <c r="V33" s="1"/>
      <c r="W33" s="1"/>
    </row>
    <row r="34" spans="1:23" ht="15" hidden="1" customHeight="1" x14ac:dyDescent="0.25">
      <c r="A34" s="17"/>
      <c r="B34" s="1"/>
      <c r="C34" s="1"/>
      <c r="H34" s="1"/>
      <c r="I34" s="1"/>
      <c r="J34" s="1"/>
      <c r="K34" s="1"/>
      <c r="L34" s="1"/>
      <c r="T34" s="1"/>
      <c r="U34" s="1"/>
      <c r="V34" s="1"/>
      <c r="W34" s="1"/>
    </row>
    <row r="35" spans="1:23" ht="15" hidden="1" customHeight="1" x14ac:dyDescent="0.25">
      <c r="A35" s="17"/>
      <c r="B35" s="1"/>
      <c r="C35" s="1"/>
      <c r="H35" s="1"/>
      <c r="I35" s="1"/>
      <c r="J35" s="1"/>
      <c r="K35" s="1"/>
      <c r="L35" s="1"/>
      <c r="T35" s="1"/>
      <c r="U35" s="1"/>
      <c r="V35" s="1"/>
      <c r="W35" s="1"/>
    </row>
    <row r="36" spans="1:23" ht="15" hidden="1" customHeight="1" x14ac:dyDescent="0.25">
      <c r="A36" s="17"/>
      <c r="B36" s="1"/>
      <c r="C36" s="1"/>
      <c r="D36" s="1"/>
      <c r="E36" s="1" t="str">
        <f t="shared" ref="E36:G37" si="1">E11</f>
        <v>M.P. 1</v>
      </c>
      <c r="F36" s="1" t="str">
        <f t="shared" si="1"/>
        <v>M.P.2</v>
      </c>
      <c r="G36" s="1" t="str">
        <f t="shared" si="1"/>
        <v>M.P. 3</v>
      </c>
      <c r="H36" s="1"/>
      <c r="I36" s="1"/>
      <c r="J36" s="1"/>
      <c r="K36" s="1"/>
      <c r="L36" s="1"/>
      <c r="T36" s="1"/>
      <c r="U36" s="1"/>
      <c r="V36" s="1"/>
      <c r="W36" s="1"/>
    </row>
    <row r="37" spans="1:23" ht="15" hidden="1" customHeight="1" x14ac:dyDescent="0.25">
      <c r="A37" s="17"/>
      <c r="B37" s="1"/>
      <c r="C37" s="1"/>
      <c r="D37" s="1"/>
      <c r="E37" s="1" t="str">
        <f t="shared" si="1"/>
        <v>CALIZA</v>
      </c>
      <c r="F37" s="1" t="str">
        <f t="shared" si="1"/>
        <v>ARCILLA</v>
      </c>
      <c r="G37" s="1" t="str">
        <f t="shared" si="1"/>
        <v>ARENA</v>
      </c>
      <c r="H37" s="1"/>
      <c r="I37" s="1"/>
      <c r="J37" s="1"/>
      <c r="K37" s="1"/>
      <c r="L37" s="1"/>
      <c r="T37" s="1"/>
      <c r="U37" s="1"/>
      <c r="V37" s="1"/>
      <c r="W37" s="1"/>
    </row>
    <row r="38" spans="1:23" ht="15" hidden="1" customHeight="1" x14ac:dyDescent="0.25">
      <c r="A38" s="17"/>
      <c r="B38" s="1"/>
      <c r="C38" s="1"/>
      <c r="D38" s="1" t="str">
        <f t="shared" ref="D38:D49" si="2">D13</f>
        <v>SiO2</v>
      </c>
      <c r="E38" s="19">
        <f t="shared" ref="E38:E49" si="3">IF(E13=0,0,IF($E$26&lt;100,(IF(D38="Resto",E13+100-$E$26,E13)),IF($E$26&gt;100,E13-((E13*($E$26-100))/($E$26)),E13)))</f>
        <v>3.6</v>
      </c>
      <c r="F38" s="19">
        <f t="shared" ref="F38:F49" si="4">IF(F13=0,0,IF($F$26&lt;100,(IF(D38="Resto",F13+100-$F$26,F13)),IF($F$26&gt;100,F13-((F13*($F$26-100))/($F$26)),F13)))</f>
        <v>59.2</v>
      </c>
      <c r="G38" s="19">
        <f t="shared" ref="G38:G49" si="5">IF(G13=0,0,IF($G$26&lt;100,(IF(E38="Resto",G13+100-$G$26,G13)),IF($G$26&gt;100,G13-((G13*($G$26-100))/($G$26)),G13)))</f>
        <v>96.6</v>
      </c>
      <c r="H38" s="1"/>
      <c r="I38" s="1"/>
      <c r="J38" s="1"/>
      <c r="K38" s="1"/>
      <c r="L38" s="1"/>
      <c r="T38" s="1"/>
      <c r="U38" s="1"/>
      <c r="V38" s="1"/>
      <c r="W38" s="1"/>
    </row>
    <row r="39" spans="1:23" ht="15" hidden="1" customHeight="1" x14ac:dyDescent="0.25">
      <c r="A39" s="17"/>
      <c r="B39" s="1"/>
      <c r="C39" s="1"/>
      <c r="D39" s="1" t="str">
        <f t="shared" si="2"/>
        <v>Al2O3</v>
      </c>
      <c r="E39" s="19">
        <f t="shared" si="3"/>
        <v>3.5</v>
      </c>
      <c r="F39" s="19">
        <f t="shared" si="4"/>
        <v>28.1</v>
      </c>
      <c r="G39" s="19">
        <f t="shared" si="5"/>
        <v>2.1</v>
      </c>
      <c r="H39" s="1"/>
      <c r="I39" s="1"/>
      <c r="J39" s="1"/>
      <c r="K39" s="1"/>
      <c r="L39" s="1"/>
      <c r="T39" s="1"/>
      <c r="U39" s="1"/>
      <c r="V39" s="1"/>
      <c r="W39" s="1"/>
    </row>
    <row r="40" spans="1:23" ht="15" hidden="1" customHeight="1" x14ac:dyDescent="0.25">
      <c r="A40" s="17"/>
      <c r="B40" s="1"/>
      <c r="C40" s="1"/>
      <c r="D40" s="1" t="str">
        <f t="shared" si="2"/>
        <v>Fe2O3</v>
      </c>
      <c r="E40" s="19">
        <f t="shared" si="3"/>
        <v>2.7</v>
      </c>
      <c r="F40" s="19">
        <f t="shared" si="4"/>
        <v>11.6</v>
      </c>
      <c r="G40" s="19">
        <f t="shared" si="5"/>
        <v>1.3</v>
      </c>
      <c r="H40" s="1"/>
      <c r="I40" s="1"/>
      <c r="J40" s="1"/>
      <c r="K40" s="1"/>
      <c r="L40" s="1"/>
      <c r="T40" s="1"/>
      <c r="U40" s="1"/>
      <c r="V40" s="1"/>
      <c r="W40" s="1"/>
    </row>
    <row r="41" spans="1:23" ht="15" hidden="1" customHeight="1" x14ac:dyDescent="0.25">
      <c r="A41" s="17"/>
      <c r="B41" s="1"/>
      <c r="C41" s="1"/>
      <c r="D41" s="1" t="str">
        <f t="shared" si="2"/>
        <v>CaO</v>
      </c>
      <c r="E41" s="19">
        <f t="shared" si="3"/>
        <v>90.2</v>
      </c>
      <c r="F41" s="19">
        <f t="shared" si="4"/>
        <v>1.1000000000000001</v>
      </c>
      <c r="G41" s="19">
        <f t="shared" si="5"/>
        <v>0</v>
      </c>
      <c r="H41" s="1"/>
      <c r="I41" s="1"/>
      <c r="J41" s="1"/>
      <c r="K41" s="1"/>
      <c r="L41" s="1"/>
      <c r="T41" s="1"/>
      <c r="U41" s="1"/>
      <c r="V41" s="1"/>
      <c r="W41" s="1"/>
    </row>
    <row r="42" spans="1:23" ht="15" hidden="1" customHeight="1" x14ac:dyDescent="0.25">
      <c r="A42" s="17"/>
      <c r="B42" s="1"/>
      <c r="C42" s="1"/>
      <c r="D42" s="1" t="str">
        <f t="shared" si="2"/>
        <v>MgO</v>
      </c>
      <c r="E42" s="19">
        <f t="shared" si="3"/>
        <v>0</v>
      </c>
      <c r="F42" s="19">
        <f t="shared" si="4"/>
        <v>0</v>
      </c>
      <c r="G42" s="19">
        <f t="shared" si="5"/>
        <v>0</v>
      </c>
      <c r="H42" s="1"/>
      <c r="I42" s="1"/>
      <c r="J42" s="1"/>
      <c r="K42" s="1"/>
      <c r="L42" s="1"/>
      <c r="T42" s="1"/>
      <c r="U42" s="1"/>
      <c r="V42" s="1"/>
      <c r="W42" s="1"/>
    </row>
    <row r="43" spans="1:23" ht="15" hidden="1" customHeight="1" x14ac:dyDescent="0.25">
      <c r="A43" s="17"/>
      <c r="B43" s="1"/>
      <c r="C43" s="1"/>
      <c r="D43" s="1" t="str">
        <f t="shared" si="2"/>
        <v>SO3</v>
      </c>
      <c r="E43" s="19">
        <f t="shared" si="3"/>
        <v>0</v>
      </c>
      <c r="F43" s="19">
        <f t="shared" si="4"/>
        <v>0</v>
      </c>
      <c r="G43" s="19">
        <f t="shared" si="5"/>
        <v>0</v>
      </c>
      <c r="H43" s="1"/>
      <c r="I43" s="1"/>
      <c r="J43" s="1"/>
      <c r="K43" s="1"/>
      <c r="L43" s="1"/>
      <c r="T43" s="1"/>
      <c r="U43" s="1"/>
      <c r="V43" s="1"/>
      <c r="W43" s="1"/>
    </row>
    <row r="44" spans="1:23" ht="15" hidden="1" customHeight="1" x14ac:dyDescent="0.25">
      <c r="A44" s="17"/>
      <c r="B44" s="1"/>
      <c r="C44" s="1"/>
      <c r="D44" s="1" t="str">
        <f t="shared" si="2"/>
        <v>N.D.</v>
      </c>
      <c r="E44" s="19">
        <f t="shared" si="3"/>
        <v>0</v>
      </c>
      <c r="F44" s="19">
        <f t="shared" si="4"/>
        <v>0</v>
      </c>
      <c r="G44" s="19">
        <f t="shared" si="5"/>
        <v>0</v>
      </c>
      <c r="H44" s="1"/>
      <c r="I44" s="1"/>
      <c r="J44" s="1"/>
      <c r="K44" s="1"/>
      <c r="L44" s="1"/>
      <c r="T44" s="1"/>
      <c r="U44" s="1"/>
      <c r="V44" s="1"/>
      <c r="W44" s="1"/>
    </row>
    <row r="45" spans="1:23" ht="15" hidden="1" customHeight="1" x14ac:dyDescent="0.25">
      <c r="A45" s="17"/>
      <c r="B45" s="1"/>
      <c r="C45" s="1"/>
      <c r="D45" s="1" t="str">
        <f t="shared" si="2"/>
        <v>Resto</v>
      </c>
      <c r="E45" s="19">
        <f t="shared" si="3"/>
        <v>0</v>
      </c>
      <c r="F45" s="19">
        <f t="shared" si="4"/>
        <v>0</v>
      </c>
      <c r="G45" s="19">
        <f t="shared" si="5"/>
        <v>0</v>
      </c>
      <c r="H45" s="1"/>
      <c r="I45" s="1"/>
      <c r="J45" s="1"/>
      <c r="K45" s="1"/>
      <c r="L45" s="1"/>
      <c r="T45" s="1"/>
      <c r="U45" s="1"/>
      <c r="V45" s="1"/>
      <c r="W45" s="1"/>
    </row>
    <row r="46" spans="1:23" ht="15" hidden="1" customHeight="1" x14ac:dyDescent="0.25">
      <c r="A46" s="17"/>
      <c r="B46" s="1"/>
      <c r="C46" s="1"/>
      <c r="D46" s="1" t="str">
        <f t="shared" si="2"/>
        <v>TiO2</v>
      </c>
      <c r="E46" s="19">
        <f t="shared" si="3"/>
        <v>0</v>
      </c>
      <c r="F46" s="19">
        <f t="shared" si="4"/>
        <v>0</v>
      </c>
      <c r="G46" s="19">
        <f t="shared" si="5"/>
        <v>0</v>
      </c>
      <c r="H46" s="1"/>
      <c r="I46" s="1"/>
      <c r="J46" s="1"/>
      <c r="K46" s="1"/>
      <c r="L46" s="1"/>
      <c r="T46" s="1"/>
      <c r="U46" s="1"/>
      <c r="V46" s="1"/>
      <c r="W46" s="1"/>
    </row>
    <row r="47" spans="1:23" ht="15" hidden="1" customHeight="1" x14ac:dyDescent="0.25">
      <c r="A47" s="17"/>
      <c r="B47" s="1"/>
      <c r="C47" s="1"/>
      <c r="D47" s="1" t="str">
        <f t="shared" si="2"/>
        <v>Mn2O3</v>
      </c>
      <c r="E47" s="19">
        <f t="shared" si="3"/>
        <v>0</v>
      </c>
      <c r="F47" s="19">
        <f t="shared" si="4"/>
        <v>0</v>
      </c>
      <c r="G47" s="19">
        <f t="shared" si="5"/>
        <v>0</v>
      </c>
      <c r="H47" s="1"/>
      <c r="I47" s="1"/>
      <c r="J47" s="1"/>
      <c r="K47" s="1"/>
      <c r="L47" s="1"/>
      <c r="T47" s="1"/>
      <c r="U47" s="1"/>
      <c r="V47" s="1"/>
      <c r="W47" s="1"/>
    </row>
    <row r="48" spans="1:23" ht="15" hidden="1" customHeight="1" x14ac:dyDescent="0.25">
      <c r="A48" s="17"/>
      <c r="B48" s="1"/>
      <c r="C48" s="1"/>
      <c r="D48" s="1" t="str">
        <f t="shared" si="2"/>
        <v>Na2O</v>
      </c>
      <c r="E48" s="19">
        <f t="shared" si="3"/>
        <v>0</v>
      </c>
      <c r="F48" s="19">
        <f t="shared" si="4"/>
        <v>0</v>
      </c>
      <c r="G48" s="19">
        <f t="shared" si="5"/>
        <v>0</v>
      </c>
      <c r="H48" s="1"/>
      <c r="I48" s="1"/>
      <c r="J48" s="1"/>
      <c r="K48" s="1"/>
      <c r="L48" s="1"/>
      <c r="T48" s="1"/>
      <c r="U48" s="1"/>
      <c r="V48" s="1"/>
      <c r="W48" s="1"/>
    </row>
    <row r="49" spans="1:23" ht="15" hidden="1" customHeight="1" x14ac:dyDescent="0.25">
      <c r="A49" s="17"/>
      <c r="B49" s="1"/>
      <c r="C49" s="1"/>
      <c r="D49" s="1" t="str">
        <f t="shared" si="2"/>
        <v>K2O</v>
      </c>
      <c r="E49" s="19">
        <f t="shared" si="3"/>
        <v>0</v>
      </c>
      <c r="F49" s="19">
        <f t="shared" si="4"/>
        <v>0</v>
      </c>
      <c r="G49" s="19">
        <f t="shared" si="5"/>
        <v>0</v>
      </c>
      <c r="H49" s="1"/>
      <c r="I49" s="1"/>
      <c r="J49" s="1"/>
      <c r="K49" s="1"/>
      <c r="L49" s="1"/>
      <c r="T49" s="1"/>
      <c r="U49" s="1"/>
      <c r="V49" s="1"/>
      <c r="W49" s="1"/>
    </row>
    <row r="50" spans="1:23" ht="15" hidden="1" customHeight="1" x14ac:dyDescent="0.25">
      <c r="A50" s="17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T50" s="1"/>
      <c r="U50" s="1"/>
      <c r="V50" s="1"/>
      <c r="W50" s="1"/>
    </row>
    <row r="51" spans="1:23" ht="15" hidden="1" customHeight="1" x14ac:dyDescent="0.25">
      <c r="A51" s="17"/>
      <c r="B51" s="1"/>
      <c r="C51" s="1"/>
      <c r="D51" s="1" t="s">
        <v>66</v>
      </c>
      <c r="E51" s="13">
        <f>SUM(E38:E49)</f>
        <v>100</v>
      </c>
      <c r="F51" s="13">
        <f>SUM(F38:F49)</f>
        <v>100</v>
      </c>
      <c r="G51" s="13">
        <f>SUM(G38:G49)</f>
        <v>99.999999999999986</v>
      </c>
      <c r="H51" s="1"/>
      <c r="I51" s="1"/>
      <c r="J51" s="1"/>
      <c r="K51" s="1"/>
      <c r="L51" s="1"/>
      <c r="T51" s="1"/>
      <c r="U51" s="1"/>
      <c r="V51" s="1"/>
      <c r="W51" s="1"/>
    </row>
    <row r="52" spans="1:23" ht="15" hidden="1" customHeight="1" x14ac:dyDescent="0.25">
      <c r="A52" s="17"/>
      <c r="B52" s="1"/>
      <c r="C52" s="21"/>
      <c r="D52" s="2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5" hidden="1" customHeight="1" x14ac:dyDescent="0.25">
      <c r="A53" s="17"/>
      <c r="B53" s="1"/>
      <c r="C53" s="21"/>
      <c r="D53" s="21"/>
      <c r="E53" s="1"/>
      <c r="F53" s="161" t="s">
        <v>63</v>
      </c>
      <c r="G53" s="161"/>
      <c r="H53" s="161" t="s">
        <v>62</v>
      </c>
      <c r="I53" s="161"/>
      <c r="J53" s="1" t="s">
        <v>61</v>
      </c>
      <c r="K53" s="1"/>
      <c r="L53" s="1" t="s">
        <v>60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5" hidden="1" customHeight="1" x14ac:dyDescent="0.25">
      <c r="A54" s="17"/>
      <c r="B54" s="1"/>
      <c r="C54" s="21"/>
      <c r="D54" s="21"/>
      <c r="E54" s="1" t="s">
        <v>65</v>
      </c>
      <c r="F54" s="1" t="s">
        <v>64</v>
      </c>
      <c r="G54" s="1">
        <f>(3*E58)+E55</f>
        <v>228</v>
      </c>
      <c r="H54" s="1" t="s">
        <v>64</v>
      </c>
      <c r="I54" s="1">
        <f>E55+2*E58</f>
        <v>172</v>
      </c>
      <c r="J54" s="1" t="s">
        <v>64</v>
      </c>
      <c r="K54" s="1">
        <f>E56+3*E58</f>
        <v>270</v>
      </c>
      <c r="L54" s="1" t="s">
        <v>64</v>
      </c>
      <c r="M54" s="1">
        <f>E56+E57+4*E58</f>
        <v>486</v>
      </c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ht="15" hidden="1" customHeight="1" x14ac:dyDescent="0.25">
      <c r="A55" s="17"/>
      <c r="B55" s="1"/>
      <c r="C55" s="21"/>
      <c r="D55" s="21" t="s">
        <v>33</v>
      </c>
      <c r="E55" s="1">
        <v>60</v>
      </c>
      <c r="F55" s="1">
        <v>1</v>
      </c>
      <c r="G55" s="2">
        <f>F55*E55/$G$54</f>
        <v>0.26315789473684209</v>
      </c>
      <c r="H55" s="1">
        <v>1</v>
      </c>
      <c r="I55" s="2">
        <f>H55*E55/$I$54</f>
        <v>0.34883720930232559</v>
      </c>
      <c r="J55" s="1">
        <v>0</v>
      </c>
      <c r="K55" s="2">
        <f>J55*E55/$K$54</f>
        <v>0</v>
      </c>
      <c r="L55" s="1">
        <v>0</v>
      </c>
      <c r="M55" s="2">
        <f>L55*E55/$M$54</f>
        <v>0</v>
      </c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ht="15" hidden="1" customHeight="1" x14ac:dyDescent="0.25">
      <c r="A56" s="17"/>
      <c r="B56" s="1"/>
      <c r="C56" s="21"/>
      <c r="D56" s="21" t="s">
        <v>32</v>
      </c>
      <c r="E56" s="1">
        <v>102</v>
      </c>
      <c r="F56" s="1">
        <v>0</v>
      </c>
      <c r="G56" s="2">
        <f>F56*E56/$G$54</f>
        <v>0</v>
      </c>
      <c r="H56" s="1">
        <v>0</v>
      </c>
      <c r="I56" s="2">
        <f>H56*E56/$I$54</f>
        <v>0</v>
      </c>
      <c r="J56" s="1">
        <v>1</v>
      </c>
      <c r="K56" s="2">
        <f>J56*E56/$K$54</f>
        <v>0.37777777777777777</v>
      </c>
      <c r="L56" s="1">
        <v>1</v>
      </c>
      <c r="M56" s="2">
        <f>L56*E56/$M$54</f>
        <v>0.20987654320987653</v>
      </c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ht="15" hidden="1" customHeight="1" x14ac:dyDescent="0.25">
      <c r="A57" s="17"/>
      <c r="B57" s="1"/>
      <c r="C57" s="21"/>
      <c r="D57" s="21" t="s">
        <v>31</v>
      </c>
      <c r="E57" s="1">
        <v>160</v>
      </c>
      <c r="F57" s="1">
        <v>0</v>
      </c>
      <c r="G57" s="2">
        <f>F57*E57/$G$54</f>
        <v>0</v>
      </c>
      <c r="H57" s="1">
        <v>0</v>
      </c>
      <c r="I57" s="2">
        <f>H57*E57/$I$54</f>
        <v>0</v>
      </c>
      <c r="J57" s="1">
        <v>0</v>
      </c>
      <c r="K57" s="2">
        <f>J57*E57/$K$54</f>
        <v>0</v>
      </c>
      <c r="L57" s="1">
        <v>1</v>
      </c>
      <c r="M57" s="2">
        <f>L57*E57/$M$54</f>
        <v>0.32921810699588477</v>
      </c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ht="15" hidden="1" customHeight="1" x14ac:dyDescent="0.25">
      <c r="A58" s="17"/>
      <c r="B58" s="1"/>
      <c r="C58" s="21"/>
      <c r="D58" s="21" t="s">
        <v>30</v>
      </c>
      <c r="E58" s="1">
        <v>56</v>
      </c>
      <c r="F58" s="1">
        <v>3</v>
      </c>
      <c r="G58" s="2">
        <f>F58*E58/$G$54</f>
        <v>0.73684210526315785</v>
      </c>
      <c r="H58" s="1">
        <v>2</v>
      </c>
      <c r="I58" s="2">
        <f>H58*E58/$I$54</f>
        <v>0.65116279069767447</v>
      </c>
      <c r="J58" s="1">
        <v>3</v>
      </c>
      <c r="K58" s="2">
        <f>J58*E58/$K$54</f>
        <v>0.62222222222222223</v>
      </c>
      <c r="L58" s="1">
        <v>4</v>
      </c>
      <c r="M58" s="2">
        <f>L58*E58/$M$54</f>
        <v>0.46090534979423869</v>
      </c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hidden="1" x14ac:dyDescent="0.25">
      <c r="A59" s="17"/>
      <c r="B59" s="1"/>
      <c r="C59" s="21"/>
      <c r="D59" s="2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hidden="1" x14ac:dyDescent="0.25">
      <c r="A60" s="17"/>
      <c r="B60" s="1"/>
      <c r="C60" s="1"/>
      <c r="D60" s="2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hidden="1" x14ac:dyDescent="0.25">
      <c r="A61" s="17"/>
      <c r="B61" s="1"/>
      <c r="C61" s="1"/>
      <c r="D61" s="1"/>
      <c r="E61" s="1" t="s">
        <v>63</v>
      </c>
      <c r="F61" s="1" t="s">
        <v>62</v>
      </c>
      <c r="G61" s="1" t="s">
        <v>61</v>
      </c>
      <c r="H61" s="1" t="s">
        <v>60</v>
      </c>
      <c r="I61" s="1" t="s">
        <v>29</v>
      </c>
      <c r="J61" s="1" t="s">
        <v>28</v>
      </c>
      <c r="K61" s="1" t="s">
        <v>25</v>
      </c>
      <c r="L61" s="1" t="s">
        <v>24</v>
      </c>
      <c r="M61" s="1" t="s">
        <v>23</v>
      </c>
      <c r="N61" s="1" t="s">
        <v>22</v>
      </c>
      <c r="O61" s="1" t="s">
        <v>59</v>
      </c>
      <c r="P61" s="1" t="s">
        <v>26</v>
      </c>
      <c r="Q61" s="1"/>
      <c r="R61" s="1" t="str">
        <f>E36</f>
        <v>M.P. 1</v>
      </c>
      <c r="S61" s="1" t="str">
        <f>F36</f>
        <v>M.P.2</v>
      </c>
      <c r="T61" s="1" t="str">
        <f>G36</f>
        <v>M.P. 3</v>
      </c>
      <c r="U61" s="1"/>
    </row>
    <row r="62" spans="1:23" hidden="1" x14ac:dyDescent="0.25">
      <c r="A62" s="17"/>
      <c r="B62" s="1"/>
      <c r="C62" s="1"/>
      <c r="D62" s="1" t="str">
        <f t="shared" ref="D62:D73" si="6">D13</f>
        <v>SiO2</v>
      </c>
      <c r="E62" s="4">
        <f>G55</f>
        <v>0.26315789473684209</v>
      </c>
      <c r="F62" s="4">
        <f>I55</f>
        <v>0.34883720930232559</v>
      </c>
      <c r="G62" s="4">
        <f>K55</f>
        <v>0</v>
      </c>
      <c r="H62" s="4">
        <f>M55</f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1"/>
      <c r="R62" s="19">
        <f t="shared" ref="R62:R73" si="7">E38</f>
        <v>3.6</v>
      </c>
      <c r="S62" s="19">
        <f t="shared" ref="S62:S73" si="8">F38</f>
        <v>59.2</v>
      </c>
      <c r="T62" s="19">
        <f t="shared" ref="T62:T73" si="9">G38</f>
        <v>96.6</v>
      </c>
      <c r="U62" s="1"/>
    </row>
    <row r="63" spans="1:23" hidden="1" x14ac:dyDescent="0.25">
      <c r="A63" s="17"/>
      <c r="B63" s="1"/>
      <c r="C63" s="1"/>
      <c r="D63" s="1" t="str">
        <f t="shared" si="6"/>
        <v>Al2O3</v>
      </c>
      <c r="E63" s="4">
        <f>G56</f>
        <v>0</v>
      </c>
      <c r="F63" s="4">
        <f>I56</f>
        <v>0</v>
      </c>
      <c r="G63" s="4">
        <f>K56</f>
        <v>0.37777777777777777</v>
      </c>
      <c r="H63" s="4">
        <f>M56</f>
        <v>0.20987654320987653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1"/>
      <c r="R63" s="19">
        <f t="shared" si="7"/>
        <v>3.5</v>
      </c>
      <c r="S63" s="19">
        <f t="shared" si="8"/>
        <v>28.1</v>
      </c>
      <c r="T63" s="19">
        <f t="shared" si="9"/>
        <v>2.1</v>
      </c>
      <c r="U63" s="1"/>
    </row>
    <row r="64" spans="1:23" hidden="1" x14ac:dyDescent="0.25">
      <c r="A64" s="17"/>
      <c r="B64" s="1"/>
      <c r="C64" s="1"/>
      <c r="D64" s="1" t="str">
        <f t="shared" si="6"/>
        <v>Fe2O3</v>
      </c>
      <c r="E64" s="4">
        <f>G57</f>
        <v>0</v>
      </c>
      <c r="F64" s="4">
        <f>I57</f>
        <v>0</v>
      </c>
      <c r="G64" s="4">
        <f>K57</f>
        <v>0</v>
      </c>
      <c r="H64" s="4">
        <f>M57</f>
        <v>0.32921810699588477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1"/>
      <c r="R64" s="19">
        <f t="shared" si="7"/>
        <v>2.7</v>
      </c>
      <c r="S64" s="19">
        <f t="shared" si="8"/>
        <v>11.6</v>
      </c>
      <c r="T64" s="19">
        <f t="shared" si="9"/>
        <v>1.3</v>
      </c>
      <c r="U64" s="1"/>
    </row>
    <row r="65" spans="1:23" hidden="1" x14ac:dyDescent="0.25">
      <c r="A65" s="17"/>
      <c r="B65" s="1"/>
      <c r="C65" s="1"/>
      <c r="D65" s="1" t="str">
        <f t="shared" si="6"/>
        <v>CaO</v>
      </c>
      <c r="E65" s="4">
        <f>G58</f>
        <v>0.73684210526315785</v>
      </c>
      <c r="F65" s="4">
        <f>I58</f>
        <v>0.65116279069767447</v>
      </c>
      <c r="G65" s="4">
        <f>K58</f>
        <v>0.62222222222222223</v>
      </c>
      <c r="H65" s="4">
        <f>M58</f>
        <v>0.46090534979423869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1"/>
      <c r="R65" s="19">
        <f t="shared" si="7"/>
        <v>90.2</v>
      </c>
      <c r="S65" s="19">
        <f t="shared" si="8"/>
        <v>1.1000000000000001</v>
      </c>
      <c r="T65" s="19">
        <f t="shared" si="9"/>
        <v>0</v>
      </c>
      <c r="U65" s="1"/>
    </row>
    <row r="66" spans="1:23" hidden="1" x14ac:dyDescent="0.25">
      <c r="A66" s="17"/>
      <c r="B66" s="1"/>
      <c r="C66" s="1"/>
      <c r="D66" s="1" t="str">
        <f t="shared" si="6"/>
        <v>MgO</v>
      </c>
      <c r="E66" s="20">
        <v>0</v>
      </c>
      <c r="F66" s="20">
        <v>0</v>
      </c>
      <c r="G66" s="20">
        <v>0</v>
      </c>
      <c r="H66" s="20">
        <v>0</v>
      </c>
      <c r="I66" s="20">
        <f>IF(SUM(E42:G42)&gt;0,1,0)</f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1"/>
      <c r="R66" s="19">
        <f t="shared" si="7"/>
        <v>0</v>
      </c>
      <c r="S66" s="19">
        <f t="shared" si="8"/>
        <v>0</v>
      </c>
      <c r="T66" s="19">
        <f t="shared" si="9"/>
        <v>0</v>
      </c>
      <c r="U66" s="1"/>
    </row>
    <row r="67" spans="1:23" hidden="1" x14ac:dyDescent="0.25">
      <c r="A67" s="17"/>
      <c r="B67" s="1"/>
      <c r="C67" s="1"/>
      <c r="D67" s="1" t="str">
        <f t="shared" si="6"/>
        <v>SO3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f>IF(SUM(E43:G43)&gt;0,1,0)</f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1"/>
      <c r="R67" s="19">
        <f t="shared" si="7"/>
        <v>0</v>
      </c>
      <c r="S67" s="19">
        <f t="shared" si="8"/>
        <v>0</v>
      </c>
      <c r="T67" s="19">
        <f t="shared" si="9"/>
        <v>0</v>
      </c>
      <c r="U67" s="1"/>
    </row>
    <row r="68" spans="1:23" hidden="1" x14ac:dyDescent="0.25">
      <c r="A68" s="17"/>
      <c r="B68" s="1"/>
      <c r="C68" s="1"/>
      <c r="D68" s="1" t="str">
        <f t="shared" si="6"/>
        <v>N.D.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f>IF(SUM(E44:G44)&gt;0,1,0)</f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1"/>
      <c r="R68" s="19">
        <f t="shared" si="7"/>
        <v>0</v>
      </c>
      <c r="S68" s="19">
        <f t="shared" si="8"/>
        <v>0</v>
      </c>
      <c r="T68" s="19">
        <f t="shared" si="9"/>
        <v>0</v>
      </c>
      <c r="U68" s="1"/>
    </row>
    <row r="69" spans="1:23" hidden="1" x14ac:dyDescent="0.25">
      <c r="A69" s="17"/>
      <c r="B69" s="1"/>
      <c r="C69" s="1"/>
      <c r="D69" s="1" t="str">
        <f t="shared" si="6"/>
        <v>Resto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f>IF(SUM(E45:G45)&gt;0,1,0)</f>
        <v>0</v>
      </c>
      <c r="M69" s="20">
        <v>0</v>
      </c>
      <c r="N69" s="20">
        <v>0</v>
      </c>
      <c r="O69" s="20">
        <v>0</v>
      </c>
      <c r="P69" s="20">
        <v>0</v>
      </c>
      <c r="Q69" s="1"/>
      <c r="R69" s="19">
        <f t="shared" si="7"/>
        <v>0</v>
      </c>
      <c r="S69" s="19">
        <f t="shared" si="8"/>
        <v>0</v>
      </c>
      <c r="T69" s="19">
        <f t="shared" si="9"/>
        <v>0</v>
      </c>
      <c r="U69" s="1"/>
    </row>
    <row r="70" spans="1:23" hidden="1" x14ac:dyDescent="0.25">
      <c r="A70" s="17"/>
      <c r="B70" s="1"/>
      <c r="C70" s="1"/>
      <c r="D70" s="1" t="str">
        <f t="shared" si="6"/>
        <v>TiO2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f>IF(SUM(E46:G46)&gt;0,1,0)</f>
        <v>0</v>
      </c>
      <c r="N70" s="20">
        <v>0</v>
      </c>
      <c r="O70" s="20">
        <v>0</v>
      </c>
      <c r="P70" s="20">
        <v>0</v>
      </c>
      <c r="Q70" s="1"/>
      <c r="R70" s="19">
        <f t="shared" si="7"/>
        <v>0</v>
      </c>
      <c r="S70" s="19">
        <f t="shared" si="8"/>
        <v>0</v>
      </c>
      <c r="T70" s="19">
        <f t="shared" si="9"/>
        <v>0</v>
      </c>
      <c r="U70" s="1"/>
    </row>
    <row r="71" spans="1:23" hidden="1" x14ac:dyDescent="0.25">
      <c r="A71" s="17"/>
      <c r="B71" s="1"/>
      <c r="C71" s="1"/>
      <c r="D71" s="1" t="str">
        <f t="shared" si="6"/>
        <v>Mn2O3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f>IF(SUM(E47:G47)&gt;0,1,0)</f>
        <v>0</v>
      </c>
      <c r="O71" s="20">
        <v>0</v>
      </c>
      <c r="P71" s="20">
        <v>0</v>
      </c>
      <c r="Q71" s="1"/>
      <c r="R71" s="19">
        <f t="shared" si="7"/>
        <v>0</v>
      </c>
      <c r="S71" s="19">
        <f t="shared" si="8"/>
        <v>0</v>
      </c>
      <c r="T71" s="19">
        <f t="shared" si="9"/>
        <v>0</v>
      </c>
      <c r="U71" s="1"/>
    </row>
    <row r="72" spans="1:23" hidden="1" x14ac:dyDescent="0.25">
      <c r="A72" s="17"/>
      <c r="B72" s="1"/>
      <c r="C72" s="1"/>
      <c r="D72" s="1" t="str">
        <f t="shared" si="6"/>
        <v>Na2O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f>IF(SUM(E48:G48)&gt;0,1,0)</f>
        <v>0</v>
      </c>
      <c r="P72" s="20">
        <v>0</v>
      </c>
      <c r="Q72" s="1"/>
      <c r="R72" s="19">
        <f t="shared" si="7"/>
        <v>0</v>
      </c>
      <c r="S72" s="19">
        <f t="shared" si="8"/>
        <v>0</v>
      </c>
      <c r="T72" s="19">
        <f t="shared" si="9"/>
        <v>0</v>
      </c>
      <c r="U72" s="1"/>
    </row>
    <row r="73" spans="1:23" hidden="1" x14ac:dyDescent="0.25">
      <c r="A73" s="17"/>
      <c r="B73" s="1"/>
      <c r="C73" s="1"/>
      <c r="D73" s="1" t="str">
        <f t="shared" si="6"/>
        <v>K2O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f>IF(SUM(E49:G49)&gt;0,1,0)</f>
        <v>0</v>
      </c>
      <c r="Q73" s="1"/>
      <c r="R73" s="19">
        <f t="shared" si="7"/>
        <v>0</v>
      </c>
      <c r="S73" s="19">
        <f t="shared" si="8"/>
        <v>0</v>
      </c>
      <c r="T73" s="19">
        <f t="shared" si="9"/>
        <v>0</v>
      </c>
      <c r="U73" s="1"/>
    </row>
    <row r="74" spans="1:23" hidden="1" x14ac:dyDescent="0.25">
      <c r="A74" s="17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hidden="1" x14ac:dyDescent="0.25">
      <c r="A75" s="17"/>
      <c r="B75" s="1"/>
      <c r="C75" s="1"/>
      <c r="D75" s="1"/>
      <c r="E75" s="1" t="str">
        <f t="shared" ref="E75:G76" si="10">E11</f>
        <v>M.P. 1</v>
      </c>
      <c r="F75" s="1" t="str">
        <f t="shared" si="10"/>
        <v>M.P.2</v>
      </c>
      <c r="G75" s="1" t="str">
        <f t="shared" si="10"/>
        <v>M.P. 3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3" hidden="1" x14ac:dyDescent="0.25">
      <c r="A76" s="17"/>
      <c r="B76" s="1"/>
      <c r="C76" s="1"/>
      <c r="D76" s="1"/>
      <c r="E76" s="1" t="str">
        <f t="shared" si="10"/>
        <v>CALIZA</v>
      </c>
      <c r="F76" s="1" t="str">
        <f t="shared" si="10"/>
        <v>ARCILLA</v>
      </c>
      <c r="G76" s="1" t="str">
        <f t="shared" si="10"/>
        <v>ARENA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3" hidden="1" x14ac:dyDescent="0.25">
      <c r="A77" s="17"/>
      <c r="B77" s="1"/>
      <c r="C77" s="1"/>
      <c r="D77" s="1" t="s">
        <v>63</v>
      </c>
      <c r="E77" s="18">
        <f t="array" ref="E77:E88">MMULT(MINVERSE(E62:IF(I66=0,H65,IF(J67=0,I66,IF(K68=0,J67,IF(L69=0,K68,IF(M70=0,L69,IF(N71=0,M70,IF(O72=0,N71,IF(P73=0,O72,P73))))))))),R62:IF(I66=0,R65,IF(J67=0,R66,IF(K68=0,R67,IF(L69=0,R68,IF(M70=0,R69,IF(N71=0,R70,IF(O72=0,R71,IF(P73=0,R72,R73)))))))))</f>
        <v>312.56476890756306</v>
      </c>
      <c r="F77" s="18">
        <f t="array" ref="F77:F88">MMULT(MINVERSE(E62:IF(I66=0,H65,IF(J67=0,I66,IF(K68=0,J67,IF(L69=0,K68,IF(M70=0,L69,IF(N71=0,M70,IF(O72=0,N71,IF(P73=0,O72,P73))))))))),S62:IF(I66=0,S65,IF(J67=0,S66,IF(K68=0,S67,IF(L69=0,S68,IF(M70=0,S69,IF(N71=0,S70,IF(O72=0,S71,IF(P73=0,S72,S73)))))))))</f>
        <v>-650.40672268907588</v>
      </c>
      <c r="G77" s="18">
        <f t="array" ref="G77:G88">MMULT(MINVERSE(E62:IF(I66=0,H65,IF(J67=0,I66,IF(K68=0,J67,IF(L69=0,K68,IF(M70=0,L69,IF(N71=0,M70,IF(O72=0,N71,IF(P73=0,O72,P73))))))))),T62:IF(I66=0,T65,IF(J67=0,T66,IF(K68=0,T67,IF(L69=0,T68,IF(M70=0,T69,IF(N71=0,T70,IF(O72=0,T71,IF(P73=0,T72,T73)))))))))</f>
        <v>-750.09485294117667</v>
      </c>
      <c r="H77" s="2"/>
      <c r="I77" s="1"/>
      <c r="J77" s="1"/>
      <c r="K77" s="1"/>
      <c r="L77" s="1"/>
      <c r="M77" s="1"/>
      <c r="N77" s="2"/>
      <c r="O77" s="2"/>
      <c r="P77" s="2"/>
      <c r="Q77" s="1"/>
      <c r="R77" s="1"/>
      <c r="S77" s="1"/>
      <c r="T77" s="1"/>
      <c r="U77" s="1"/>
    </row>
    <row r="78" spans="1:23" hidden="1" x14ac:dyDescent="0.25">
      <c r="A78" s="17"/>
      <c r="B78" s="1"/>
      <c r="C78" s="1"/>
      <c r="D78" s="1" t="s">
        <v>62</v>
      </c>
      <c r="E78" s="18">
        <v>-225.47447478991603</v>
      </c>
      <c r="F78" s="18">
        <v>660.36436974789945</v>
      </c>
      <c r="G78" s="18">
        <v>842.78102941176485</v>
      </c>
      <c r="H78" s="2"/>
      <c r="I78" s="1"/>
      <c r="J78" s="1"/>
      <c r="K78" s="1"/>
      <c r="L78" s="1"/>
      <c r="M78" s="1"/>
      <c r="N78" s="2"/>
      <c r="O78" s="2"/>
      <c r="P78" s="2"/>
      <c r="Q78" s="1"/>
      <c r="R78" s="1"/>
      <c r="S78" s="1"/>
      <c r="T78" s="1"/>
      <c r="U78" s="1"/>
    </row>
    <row r="79" spans="1:23" hidden="1" x14ac:dyDescent="0.25">
      <c r="A79" s="17"/>
      <c r="B79" s="1"/>
      <c r="C79" s="1"/>
      <c r="D79" s="1" t="s">
        <v>61</v>
      </c>
      <c r="E79" s="18">
        <v>4.7084558823529399</v>
      </c>
      <c r="F79" s="18">
        <v>54.807352941176475</v>
      </c>
      <c r="G79" s="18">
        <v>3.3650735294117644</v>
      </c>
      <c r="H79" s="2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3" hidden="1" x14ac:dyDescent="0.25">
      <c r="A80" s="17"/>
      <c r="B80" s="1"/>
      <c r="C80" s="1"/>
      <c r="D80" s="1" t="s">
        <v>60</v>
      </c>
      <c r="E80" s="18">
        <v>8.2012499999999999</v>
      </c>
      <c r="F80" s="18">
        <v>35.234999999999999</v>
      </c>
      <c r="G80" s="18">
        <v>3.9487500000000004</v>
      </c>
      <c r="H80" s="2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3" hidden="1" x14ac:dyDescent="0.25">
      <c r="A81" s="17"/>
      <c r="B81" s="1"/>
      <c r="C81" s="1"/>
      <c r="D81" s="1" t="s">
        <v>29</v>
      </c>
      <c r="E81" s="18" t="e">
        <v>#N/A</v>
      </c>
      <c r="F81" s="18" t="e">
        <v>#N/A</v>
      </c>
      <c r="G81" s="18" t="e">
        <v>#N/A</v>
      </c>
      <c r="H81" s="2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3" hidden="1" x14ac:dyDescent="0.25">
      <c r="A82" s="17"/>
      <c r="B82" s="1"/>
      <c r="C82" s="1"/>
      <c r="D82" s="1" t="s">
        <v>28</v>
      </c>
      <c r="E82" s="18" t="e">
        <v>#N/A</v>
      </c>
      <c r="F82" s="18" t="e">
        <v>#N/A</v>
      </c>
      <c r="G82" s="18" t="e">
        <v>#N/A</v>
      </c>
      <c r="H82" s="2"/>
      <c r="I82" s="1"/>
      <c r="J82" s="1"/>
      <c r="K82" s="1"/>
      <c r="L82" s="1"/>
      <c r="M82" s="1"/>
      <c r="N82" s="2"/>
      <c r="O82" s="1"/>
      <c r="P82" s="2"/>
      <c r="Q82" s="1"/>
      <c r="R82" s="1"/>
      <c r="S82" s="1"/>
      <c r="T82" s="1"/>
      <c r="U82" s="1"/>
    </row>
    <row r="83" spans="1:23" hidden="1" x14ac:dyDescent="0.25">
      <c r="A83" s="17"/>
      <c r="B83" s="1"/>
      <c r="C83" s="1"/>
      <c r="D83" s="1" t="s">
        <v>59</v>
      </c>
      <c r="E83" s="18" t="e">
        <v>#N/A</v>
      </c>
      <c r="F83" s="18" t="e">
        <v>#N/A</v>
      </c>
      <c r="G83" s="18" t="e">
        <v>#N/A</v>
      </c>
      <c r="H83" s="2"/>
      <c r="I83" s="1"/>
      <c r="J83" s="1"/>
      <c r="K83" s="1"/>
      <c r="L83" s="1"/>
      <c r="M83" s="1"/>
      <c r="N83" s="2"/>
      <c r="O83" s="1"/>
      <c r="P83" s="2"/>
      <c r="Q83" s="1"/>
      <c r="R83" s="1"/>
      <c r="S83" s="1"/>
      <c r="T83" s="1"/>
      <c r="U83" s="1"/>
    </row>
    <row r="84" spans="1:23" hidden="1" x14ac:dyDescent="0.25">
      <c r="A84" s="17"/>
      <c r="B84" s="1"/>
      <c r="C84" s="1"/>
      <c r="D84" s="1" t="s">
        <v>26</v>
      </c>
      <c r="E84" s="18" t="e">
        <v>#N/A</v>
      </c>
      <c r="F84" s="18" t="e">
        <v>#N/A</v>
      </c>
      <c r="G84" s="18" t="e">
        <v>#N/A</v>
      </c>
      <c r="H84" s="2"/>
      <c r="I84" s="1"/>
      <c r="J84" s="1"/>
      <c r="K84" s="1"/>
      <c r="L84" s="1"/>
      <c r="M84" s="1"/>
      <c r="N84" s="2"/>
      <c r="O84" s="1"/>
      <c r="P84" s="1"/>
      <c r="Q84" s="1"/>
      <c r="R84" s="1"/>
      <c r="S84" s="1"/>
      <c r="T84" s="1"/>
      <c r="U84" s="1"/>
    </row>
    <row r="85" spans="1:23" hidden="1" x14ac:dyDescent="0.25">
      <c r="A85" s="17"/>
      <c r="B85" s="1"/>
      <c r="C85" s="1"/>
      <c r="D85" s="1" t="s">
        <v>25</v>
      </c>
      <c r="E85" s="18" t="e">
        <v>#N/A</v>
      </c>
      <c r="F85" s="18" t="e">
        <v>#N/A</v>
      </c>
      <c r="G85" s="18" t="e">
        <v>#N/A</v>
      </c>
      <c r="H85" s="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3" hidden="1" x14ac:dyDescent="0.25">
      <c r="A86" s="17"/>
      <c r="B86" s="1"/>
      <c r="C86" s="1"/>
      <c r="D86" s="1" t="s">
        <v>24</v>
      </c>
      <c r="E86" s="18" t="e">
        <v>#N/A</v>
      </c>
      <c r="F86" s="18" t="e">
        <v>#N/A</v>
      </c>
      <c r="G86" s="18" t="e">
        <v>#N/A</v>
      </c>
      <c r="H86" s="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3" hidden="1" x14ac:dyDescent="0.25">
      <c r="A87" s="17"/>
      <c r="B87" s="1"/>
      <c r="C87" s="1"/>
      <c r="D87" s="1" t="s">
        <v>23</v>
      </c>
      <c r="E87" s="18" t="e">
        <v>#N/A</v>
      </c>
      <c r="F87" s="18" t="e">
        <v>#N/A</v>
      </c>
      <c r="G87" s="18" t="e">
        <v>#N/A</v>
      </c>
      <c r="H87" s="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3" hidden="1" x14ac:dyDescent="0.25">
      <c r="A88" s="17"/>
      <c r="B88" s="1"/>
      <c r="C88" s="1"/>
      <c r="D88" s="1" t="s">
        <v>22</v>
      </c>
      <c r="E88" s="18" t="e">
        <v>#N/A</v>
      </c>
      <c r="F88" s="18" t="e">
        <v>#N/A</v>
      </c>
      <c r="G88" s="18" t="e">
        <v>#N/A</v>
      </c>
      <c r="H88" s="2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3" hidden="1" x14ac:dyDescent="0.25">
      <c r="A89" s="17"/>
      <c r="B89" s="1"/>
      <c r="C89" s="1"/>
      <c r="D89" s="1"/>
      <c r="E89" s="2"/>
      <c r="F89" s="2"/>
      <c r="G89" s="2"/>
      <c r="H89" s="2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3" hidden="1" x14ac:dyDescent="0.25">
      <c r="A90" s="12"/>
      <c r="B90" s="1"/>
      <c r="C90" s="1"/>
      <c r="D90" s="1"/>
      <c r="E90" s="1">
        <f>VLOOKUP($E$8,$D$75:$G$88,2,FALSE)</f>
        <v>312.56476890756306</v>
      </c>
      <c r="F90" s="1">
        <f>VLOOKUP($E$8,$D$75:$G$88,3,FALSE)</f>
        <v>-650.40672268907588</v>
      </c>
      <c r="G90" s="1">
        <f>VLOOKUP($E$8,$D$75:$G$88,4,FALSE)</f>
        <v>-750.09485294117667</v>
      </c>
      <c r="H90" s="1" t="s">
        <v>20</v>
      </c>
      <c r="I90" s="1">
        <f>F8</f>
        <v>50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hidden="1" x14ac:dyDescent="0.25">
      <c r="A91" s="12"/>
      <c r="B91" s="1"/>
      <c r="C91" s="1"/>
      <c r="D91" s="1"/>
      <c r="E91" s="2">
        <f>VLOOKUP($E$9,$D$75:$G$88,2,FALSE)</f>
        <v>-225.47447478991603</v>
      </c>
      <c r="F91" s="2">
        <f>VLOOKUP($E$9,$D$75:$G$88,3,FALSE)</f>
        <v>660.36436974789945</v>
      </c>
      <c r="G91" s="2">
        <f>VLOOKUP($E$9,$D$75:$G$88,4,FALSE)</f>
        <v>842.78102941176485</v>
      </c>
      <c r="H91" s="2" t="s">
        <v>18</v>
      </c>
      <c r="I91" s="2">
        <f>F9</f>
        <v>25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idden="1" x14ac:dyDescent="0.25">
      <c r="A92" s="12"/>
      <c r="B92" s="1"/>
      <c r="C92" s="1"/>
      <c r="D92" s="1"/>
      <c r="E92" s="1">
        <v>1</v>
      </c>
      <c r="F92" s="1">
        <v>1</v>
      </c>
      <c r="G92" s="1">
        <v>1</v>
      </c>
      <c r="H92" s="1" t="s">
        <v>53</v>
      </c>
      <c r="I92" s="1">
        <f>1</f>
        <v>1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idden="1" x14ac:dyDescent="0.25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2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23" x14ac:dyDescent="0.25">
      <c r="A96" s="66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 hidden="1" x14ac:dyDescent="0.25">
      <c r="A97" s="66"/>
      <c r="B97" s="1"/>
      <c r="D97" s="1" t="str">
        <f>H90</f>
        <v>X</v>
      </c>
      <c r="E97" s="2">
        <f t="array" ref="E97:E99">MMULT(MINVERSE(E90:G92),I90:I92)</f>
        <v>0.73754213261428858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 hidden="1" x14ac:dyDescent="0.25">
      <c r="A98" s="66"/>
      <c r="B98" s="1"/>
      <c r="D98" s="1" t="str">
        <f>H91</f>
        <v>Y</v>
      </c>
      <c r="E98" s="2">
        <v>0.16389723790029187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 hidden="1" x14ac:dyDescent="0.25">
      <c r="A99" s="66"/>
      <c r="B99" s="1"/>
      <c r="D99" s="1" t="str">
        <f>H92</f>
        <v>Z</v>
      </c>
      <c r="E99" s="2">
        <v>9.856062948541966E-2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 hidden="1" x14ac:dyDescent="0.25">
      <c r="A100" s="66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 hidden="1" x14ac:dyDescent="0.25">
      <c r="A101" s="66"/>
      <c r="B101" s="1"/>
      <c r="C101" s="1"/>
      <c r="D101" s="1"/>
      <c r="E101" s="1" t="str">
        <f t="shared" ref="E101:G102" si="11">E36</f>
        <v>M.P. 1</v>
      </c>
      <c r="F101" s="1" t="str">
        <f t="shared" si="11"/>
        <v>M.P.2</v>
      </c>
      <c r="G101" s="1" t="str">
        <f t="shared" si="11"/>
        <v>M.P. 3</v>
      </c>
      <c r="H101" s="1"/>
      <c r="I101" s="1"/>
      <c r="J101" s="1"/>
      <c r="K101" s="1"/>
      <c r="L101" s="1"/>
      <c r="M101" s="1"/>
      <c r="N101" s="1"/>
      <c r="O101" s="1"/>
      <c r="P101" s="1"/>
    </row>
    <row r="102" spans="1:16" hidden="1" x14ac:dyDescent="0.25">
      <c r="A102" s="64"/>
      <c r="D102" s="1"/>
      <c r="E102" s="1" t="str">
        <f t="shared" si="11"/>
        <v>CALIZA</v>
      </c>
      <c r="F102" s="1" t="str">
        <f t="shared" si="11"/>
        <v>ARCILLA</v>
      </c>
      <c r="G102" s="1" t="str">
        <f t="shared" si="11"/>
        <v>ARENA</v>
      </c>
      <c r="H102" s="1" t="str">
        <f>E102</f>
        <v>CALIZA</v>
      </c>
      <c r="I102" s="1" t="str">
        <f>F102</f>
        <v>ARCILLA</v>
      </c>
      <c r="J102" s="1" t="str">
        <f>G102</f>
        <v>ARENA</v>
      </c>
      <c r="K102" s="1" t="s">
        <v>16</v>
      </c>
      <c r="L102" s="1" t="s">
        <v>15</v>
      </c>
    </row>
    <row r="103" spans="1:16" hidden="1" x14ac:dyDescent="0.25">
      <c r="A103" s="64"/>
      <c r="D103" s="1"/>
      <c r="E103" s="1"/>
      <c r="F103" s="1"/>
      <c r="G103" s="1"/>
      <c r="H103" s="1">
        <f>E97</f>
        <v>0.73754213261428858</v>
      </c>
      <c r="I103" s="1">
        <f>E98</f>
        <v>0.16389723790029187</v>
      </c>
      <c r="J103" s="1">
        <f>E99</f>
        <v>9.856062948541966E-2</v>
      </c>
      <c r="K103" s="1"/>
      <c r="L103" s="1"/>
    </row>
    <row r="104" spans="1:16" hidden="1" x14ac:dyDescent="0.25">
      <c r="A104" s="64"/>
      <c r="D104" s="1" t="str">
        <f t="shared" ref="D104:G115" si="12">D38</f>
        <v>SiO2</v>
      </c>
      <c r="E104" s="2">
        <f t="shared" si="12"/>
        <v>3.6</v>
      </c>
      <c r="F104" s="2">
        <f t="shared" si="12"/>
        <v>59.2</v>
      </c>
      <c r="G104" s="2">
        <f t="shared" si="12"/>
        <v>96.6</v>
      </c>
      <c r="H104" s="2">
        <f t="shared" ref="H104:H115" si="13">E104*$H$103</f>
        <v>2.655151677411439</v>
      </c>
      <c r="I104" s="2">
        <f t="shared" ref="I104:I115" si="14">F104*$I$103</f>
        <v>9.7027164836972783</v>
      </c>
      <c r="J104" s="2">
        <f t="shared" ref="J104:J115" si="15">$J$103*G104</f>
        <v>9.5209568082915386</v>
      </c>
      <c r="K104" s="2">
        <f t="shared" ref="K104:K115" si="16">SUM(H104:J104)</f>
        <v>21.878824969400256</v>
      </c>
      <c r="L104" s="2">
        <f t="shared" ref="L104:L115" si="17">IF(F104&lt;&gt;"P.C.",K104+((K104*$H$60)/(100-$H$60)),0)</f>
        <v>21.878824969400256</v>
      </c>
    </row>
    <row r="105" spans="1:16" hidden="1" x14ac:dyDescent="0.25">
      <c r="A105" s="64"/>
      <c r="D105" s="1" t="str">
        <f t="shared" si="12"/>
        <v>Al2O3</v>
      </c>
      <c r="E105" s="2">
        <f t="shared" si="12"/>
        <v>3.5</v>
      </c>
      <c r="F105" s="2">
        <f t="shared" si="12"/>
        <v>28.1</v>
      </c>
      <c r="G105" s="2">
        <f t="shared" si="12"/>
        <v>2.1</v>
      </c>
      <c r="H105" s="2">
        <f t="shared" si="13"/>
        <v>2.5813974641500099</v>
      </c>
      <c r="I105" s="2">
        <f t="shared" si="14"/>
        <v>4.6055123849982014</v>
      </c>
      <c r="J105" s="2">
        <f t="shared" si="15"/>
        <v>0.20697732191938129</v>
      </c>
      <c r="K105" s="2">
        <f t="shared" si="16"/>
        <v>7.3938871710675924</v>
      </c>
      <c r="L105" s="2">
        <f t="shared" si="17"/>
        <v>7.3938871710675924</v>
      </c>
    </row>
    <row r="106" spans="1:16" hidden="1" x14ac:dyDescent="0.25">
      <c r="A106" s="64"/>
      <c r="D106" s="1" t="str">
        <f t="shared" si="12"/>
        <v>Fe2O3</v>
      </c>
      <c r="E106" s="2">
        <f t="shared" si="12"/>
        <v>2.7</v>
      </c>
      <c r="F106" s="2">
        <f t="shared" si="12"/>
        <v>11.6</v>
      </c>
      <c r="G106" s="2">
        <f t="shared" si="12"/>
        <v>1.3</v>
      </c>
      <c r="H106" s="2">
        <f t="shared" si="13"/>
        <v>1.9913637580585792</v>
      </c>
      <c r="I106" s="2">
        <f t="shared" si="14"/>
        <v>1.9012079596433857</v>
      </c>
      <c r="J106" s="2">
        <f t="shared" si="15"/>
        <v>0.12812881833104556</v>
      </c>
      <c r="K106" s="2">
        <f t="shared" si="16"/>
        <v>4.0207005360330106</v>
      </c>
      <c r="L106" s="2">
        <f t="shared" si="17"/>
        <v>4.0207005360330106</v>
      </c>
    </row>
    <row r="107" spans="1:16" hidden="1" x14ac:dyDescent="0.25">
      <c r="A107" s="64"/>
      <c r="D107" s="1" t="str">
        <f t="shared" si="12"/>
        <v>CaO</v>
      </c>
      <c r="E107" s="2">
        <f t="shared" si="12"/>
        <v>90.2</v>
      </c>
      <c r="F107" s="2">
        <f t="shared" si="12"/>
        <v>1.1000000000000001</v>
      </c>
      <c r="G107" s="2">
        <f t="shared" si="12"/>
        <v>0</v>
      </c>
      <c r="H107" s="2">
        <f t="shared" si="13"/>
        <v>66.526300361808836</v>
      </c>
      <c r="I107" s="2">
        <f t="shared" si="14"/>
        <v>0.18028696169032107</v>
      </c>
      <c r="J107" s="2">
        <f t="shared" si="15"/>
        <v>0</v>
      </c>
      <c r="K107" s="2">
        <f t="shared" si="16"/>
        <v>66.706587323499164</v>
      </c>
      <c r="L107" s="2">
        <f t="shared" si="17"/>
        <v>66.706587323499164</v>
      </c>
    </row>
    <row r="108" spans="1:16" hidden="1" x14ac:dyDescent="0.25">
      <c r="A108" s="64"/>
      <c r="D108" s="1" t="str">
        <f t="shared" si="12"/>
        <v>MgO</v>
      </c>
      <c r="E108" s="2">
        <f t="shared" si="12"/>
        <v>0</v>
      </c>
      <c r="F108" s="2">
        <f t="shared" si="12"/>
        <v>0</v>
      </c>
      <c r="G108" s="2">
        <f t="shared" si="12"/>
        <v>0</v>
      </c>
      <c r="H108" s="2">
        <f t="shared" si="13"/>
        <v>0</v>
      </c>
      <c r="I108" s="2">
        <f t="shared" si="14"/>
        <v>0</v>
      </c>
      <c r="J108" s="2">
        <f t="shared" si="15"/>
        <v>0</v>
      </c>
      <c r="K108" s="2">
        <f t="shared" si="16"/>
        <v>0</v>
      </c>
      <c r="L108" s="2">
        <f t="shared" si="17"/>
        <v>0</v>
      </c>
    </row>
    <row r="109" spans="1:16" hidden="1" x14ac:dyDescent="0.25">
      <c r="A109" s="64"/>
      <c r="D109" s="1" t="str">
        <f t="shared" si="12"/>
        <v>SO3</v>
      </c>
      <c r="E109" s="2">
        <f t="shared" si="12"/>
        <v>0</v>
      </c>
      <c r="F109" s="2">
        <f t="shared" si="12"/>
        <v>0</v>
      </c>
      <c r="G109" s="2">
        <f t="shared" si="12"/>
        <v>0</v>
      </c>
      <c r="H109" s="2">
        <f t="shared" si="13"/>
        <v>0</v>
      </c>
      <c r="I109" s="2">
        <f t="shared" si="14"/>
        <v>0</v>
      </c>
      <c r="J109" s="2">
        <f t="shared" si="15"/>
        <v>0</v>
      </c>
      <c r="K109" s="2">
        <f t="shared" si="16"/>
        <v>0</v>
      </c>
      <c r="L109" s="2">
        <f>IF(F109&lt;&gt;"P.C.",K109+((K109*$H$60)/(100-$H$60)),0)</f>
        <v>0</v>
      </c>
    </row>
    <row r="110" spans="1:16" hidden="1" x14ac:dyDescent="0.25">
      <c r="A110" s="64"/>
      <c r="D110" s="1" t="str">
        <f t="shared" si="12"/>
        <v>N.D.</v>
      </c>
      <c r="E110" s="2">
        <f t="shared" si="12"/>
        <v>0</v>
      </c>
      <c r="F110" s="2">
        <f t="shared" si="12"/>
        <v>0</v>
      </c>
      <c r="G110" s="2">
        <f t="shared" si="12"/>
        <v>0</v>
      </c>
      <c r="H110" s="2">
        <f t="shared" si="13"/>
        <v>0</v>
      </c>
      <c r="I110" s="2">
        <f t="shared" si="14"/>
        <v>0</v>
      </c>
      <c r="J110" s="2">
        <f t="shared" si="15"/>
        <v>0</v>
      </c>
      <c r="K110" s="2">
        <f t="shared" si="16"/>
        <v>0</v>
      </c>
      <c r="L110" s="2">
        <f t="shared" si="17"/>
        <v>0</v>
      </c>
    </row>
    <row r="111" spans="1:16" hidden="1" x14ac:dyDescent="0.25">
      <c r="A111" s="64"/>
      <c r="D111" s="1" t="str">
        <f t="shared" si="12"/>
        <v>Resto</v>
      </c>
      <c r="E111" s="2">
        <f t="shared" si="12"/>
        <v>0</v>
      </c>
      <c r="F111" s="2">
        <f t="shared" si="12"/>
        <v>0</v>
      </c>
      <c r="G111" s="2">
        <f t="shared" si="12"/>
        <v>0</v>
      </c>
      <c r="H111" s="2">
        <f t="shared" si="13"/>
        <v>0</v>
      </c>
      <c r="I111" s="2">
        <f t="shared" si="14"/>
        <v>0</v>
      </c>
      <c r="J111" s="2">
        <f t="shared" si="15"/>
        <v>0</v>
      </c>
      <c r="K111" s="2">
        <f t="shared" si="16"/>
        <v>0</v>
      </c>
      <c r="L111" s="2">
        <f t="shared" si="17"/>
        <v>0</v>
      </c>
    </row>
    <row r="112" spans="1:16" hidden="1" x14ac:dyDescent="0.25">
      <c r="A112" s="64"/>
      <c r="D112" s="1" t="str">
        <f t="shared" si="12"/>
        <v>TiO2</v>
      </c>
      <c r="E112" s="2">
        <f t="shared" si="12"/>
        <v>0</v>
      </c>
      <c r="F112" s="2">
        <f t="shared" si="12"/>
        <v>0</v>
      </c>
      <c r="G112" s="2">
        <f t="shared" si="12"/>
        <v>0</v>
      </c>
      <c r="H112" s="2">
        <f t="shared" si="13"/>
        <v>0</v>
      </c>
      <c r="I112" s="2">
        <f t="shared" si="14"/>
        <v>0</v>
      </c>
      <c r="J112" s="2">
        <f t="shared" si="15"/>
        <v>0</v>
      </c>
      <c r="K112" s="2">
        <f t="shared" si="16"/>
        <v>0</v>
      </c>
      <c r="L112" s="2">
        <f t="shared" si="17"/>
        <v>0</v>
      </c>
    </row>
    <row r="113" spans="1:13" hidden="1" x14ac:dyDescent="0.25">
      <c r="A113" s="64"/>
      <c r="D113" s="1" t="str">
        <f t="shared" si="12"/>
        <v>Mn2O3</v>
      </c>
      <c r="E113" s="2">
        <f t="shared" si="12"/>
        <v>0</v>
      </c>
      <c r="F113" s="2">
        <f t="shared" si="12"/>
        <v>0</v>
      </c>
      <c r="G113" s="2">
        <f t="shared" si="12"/>
        <v>0</v>
      </c>
      <c r="H113" s="2">
        <f t="shared" si="13"/>
        <v>0</v>
      </c>
      <c r="I113" s="2">
        <f t="shared" si="14"/>
        <v>0</v>
      </c>
      <c r="J113" s="2">
        <f t="shared" si="15"/>
        <v>0</v>
      </c>
      <c r="K113" s="2">
        <f t="shared" si="16"/>
        <v>0</v>
      </c>
      <c r="L113" s="2">
        <f t="shared" si="17"/>
        <v>0</v>
      </c>
    </row>
    <row r="114" spans="1:13" hidden="1" x14ac:dyDescent="0.25">
      <c r="A114" s="64"/>
      <c r="D114" s="1" t="str">
        <f t="shared" si="12"/>
        <v>Na2O</v>
      </c>
      <c r="E114" s="2">
        <f t="shared" si="12"/>
        <v>0</v>
      </c>
      <c r="F114" s="2">
        <f t="shared" si="12"/>
        <v>0</v>
      </c>
      <c r="G114" s="2">
        <f t="shared" si="12"/>
        <v>0</v>
      </c>
      <c r="H114" s="2">
        <f t="shared" si="13"/>
        <v>0</v>
      </c>
      <c r="I114" s="2">
        <f t="shared" si="14"/>
        <v>0</v>
      </c>
      <c r="J114" s="2">
        <f t="shared" si="15"/>
        <v>0</v>
      </c>
      <c r="K114" s="2">
        <f t="shared" si="16"/>
        <v>0</v>
      </c>
      <c r="L114" s="2">
        <f t="shared" si="17"/>
        <v>0</v>
      </c>
    </row>
    <row r="115" spans="1:13" hidden="1" x14ac:dyDescent="0.25">
      <c r="A115" s="64"/>
      <c r="D115" s="1" t="str">
        <f t="shared" si="12"/>
        <v>K2O</v>
      </c>
      <c r="E115" s="2">
        <f t="shared" si="12"/>
        <v>0</v>
      </c>
      <c r="F115" s="2">
        <f t="shared" si="12"/>
        <v>0</v>
      </c>
      <c r="G115" s="2">
        <f t="shared" si="12"/>
        <v>0</v>
      </c>
      <c r="H115" s="2">
        <f t="shared" si="13"/>
        <v>0</v>
      </c>
      <c r="I115" s="2">
        <f t="shared" si="14"/>
        <v>0</v>
      </c>
      <c r="J115" s="2">
        <f t="shared" si="15"/>
        <v>0</v>
      </c>
      <c r="K115" s="2">
        <f t="shared" si="16"/>
        <v>0</v>
      </c>
      <c r="L115" s="2">
        <f t="shared" si="17"/>
        <v>0</v>
      </c>
    </row>
    <row r="116" spans="1:13" hidden="1" x14ac:dyDescent="0.25">
      <c r="A116" s="64"/>
      <c r="D116" s="1"/>
      <c r="E116" s="2"/>
      <c r="F116" s="2"/>
      <c r="G116" s="2"/>
      <c r="H116" s="2"/>
      <c r="I116" s="2"/>
      <c r="J116" s="2"/>
      <c r="K116" s="2"/>
      <c r="L116" s="2"/>
    </row>
    <row r="117" spans="1:13" hidden="1" x14ac:dyDescent="0.25">
      <c r="A117" s="64"/>
      <c r="D117" s="1" t="str">
        <f>D51</f>
        <v>TOTAL</v>
      </c>
      <c r="E117" s="2">
        <f t="shared" ref="E117:L117" si="18">SUM(E104:E115)</f>
        <v>100</v>
      </c>
      <c r="F117" s="2">
        <f t="shared" si="18"/>
        <v>100</v>
      </c>
      <c r="G117" s="2">
        <f t="shared" si="18"/>
        <v>99.999999999999986</v>
      </c>
      <c r="H117" s="2">
        <f t="shared" si="18"/>
        <v>73.754213261428859</v>
      </c>
      <c r="I117" s="2">
        <f t="shared" si="18"/>
        <v>16.389723790029187</v>
      </c>
      <c r="J117" s="2">
        <f t="shared" si="18"/>
        <v>9.8560629485419664</v>
      </c>
      <c r="K117" s="2">
        <f t="shared" si="18"/>
        <v>100.00000000000003</v>
      </c>
      <c r="L117" s="2">
        <f t="shared" si="18"/>
        <v>100.00000000000003</v>
      </c>
    </row>
    <row r="118" spans="1:13" hidden="1" x14ac:dyDescent="0.25">
      <c r="A118" s="64"/>
    </row>
    <row r="119" spans="1:13" hidden="1" x14ac:dyDescent="0.25">
      <c r="A119" s="64"/>
      <c r="D119" t="s">
        <v>13</v>
      </c>
    </row>
    <row r="120" spans="1:13" hidden="1" x14ac:dyDescent="0.25">
      <c r="A120" s="64"/>
    </row>
    <row r="121" spans="1:13" hidden="1" x14ac:dyDescent="0.25">
      <c r="A121" s="64"/>
      <c r="D121" t="s">
        <v>12</v>
      </c>
      <c r="E121">
        <f t="shared" ref="E121:L121" si="19">E107/(E106+E105+E104)</f>
        <v>9.204081632653061</v>
      </c>
      <c r="F121">
        <f t="shared" si="19"/>
        <v>1.1122345803842266E-2</v>
      </c>
      <c r="G121">
        <f t="shared" si="19"/>
        <v>0</v>
      </c>
      <c r="H121">
        <f t="shared" si="19"/>
        <v>9.2040816326530628</v>
      </c>
      <c r="I121">
        <f t="shared" si="19"/>
        <v>1.1122345803842266E-2</v>
      </c>
      <c r="J121">
        <f t="shared" si="19"/>
        <v>0</v>
      </c>
      <c r="K121">
        <f t="shared" si="19"/>
        <v>2.0035971671531883</v>
      </c>
      <c r="L121">
        <f t="shared" si="19"/>
        <v>2.0035971671531883</v>
      </c>
      <c r="M121" t="str">
        <f>D121</f>
        <v>MH</v>
      </c>
    </row>
    <row r="122" spans="1:13" hidden="1" x14ac:dyDescent="0.25">
      <c r="A122" s="64"/>
      <c r="D122" t="s">
        <v>11</v>
      </c>
      <c r="E122">
        <f t="shared" ref="E122:L122" si="20">E104/(E105+E106)</f>
        <v>0.58064516129032262</v>
      </c>
      <c r="F122">
        <f t="shared" si="20"/>
        <v>1.491183879093199</v>
      </c>
      <c r="G122">
        <f t="shared" si="20"/>
        <v>28.411764705882348</v>
      </c>
      <c r="H122">
        <f t="shared" si="20"/>
        <v>0.58064516129032262</v>
      </c>
      <c r="I122">
        <f t="shared" si="20"/>
        <v>1.491183879093199</v>
      </c>
      <c r="J122">
        <f t="shared" si="20"/>
        <v>28.411764705882351</v>
      </c>
      <c r="K122">
        <f t="shared" si="20"/>
        <v>1.9167424641881921</v>
      </c>
      <c r="L122">
        <f t="shared" si="20"/>
        <v>1.9167424641881921</v>
      </c>
      <c r="M122" t="str">
        <f>D122</f>
        <v>SM</v>
      </c>
    </row>
    <row r="123" spans="1:13" hidden="1" x14ac:dyDescent="0.25">
      <c r="A123" s="64"/>
      <c r="D123" t="s">
        <v>10</v>
      </c>
      <c r="E123">
        <f t="shared" ref="E123:L123" si="21">E105/E106</f>
        <v>1.2962962962962963</v>
      </c>
      <c r="F123">
        <f t="shared" si="21"/>
        <v>2.4224137931034484</v>
      </c>
      <c r="G123">
        <f t="shared" si="21"/>
        <v>1.6153846153846154</v>
      </c>
      <c r="H123">
        <f t="shared" si="21"/>
        <v>1.2962962962962963</v>
      </c>
      <c r="I123">
        <f t="shared" si="21"/>
        <v>2.422413793103448</v>
      </c>
      <c r="J123">
        <f t="shared" si="21"/>
        <v>1.6153846153846154</v>
      </c>
      <c r="K123">
        <f t="shared" si="21"/>
        <v>1.8389549544425179</v>
      </c>
      <c r="L123">
        <f t="shared" si="21"/>
        <v>1.8389549544425179</v>
      </c>
      <c r="M123" t="str">
        <f>D123</f>
        <v>TM</v>
      </c>
    </row>
    <row r="124" spans="1:13" hidden="1" x14ac:dyDescent="0.25">
      <c r="A124" s="64"/>
      <c r="D124" t="s">
        <v>9</v>
      </c>
      <c r="E124">
        <f t="shared" ref="E124:L124" si="22">E104/E105</f>
        <v>1.0285714285714287</v>
      </c>
      <c r="F124">
        <f t="shared" si="22"/>
        <v>2.1067615658362988</v>
      </c>
      <c r="G124">
        <f t="shared" si="22"/>
        <v>45.999999999999993</v>
      </c>
      <c r="H124">
        <f t="shared" si="22"/>
        <v>1.0285714285714287</v>
      </c>
      <c r="I124">
        <f t="shared" si="22"/>
        <v>2.1067615658362988</v>
      </c>
      <c r="J124">
        <f t="shared" si="22"/>
        <v>46</v>
      </c>
      <c r="K124">
        <f t="shared" si="22"/>
        <v>2.959042309302808</v>
      </c>
      <c r="L124">
        <f t="shared" si="22"/>
        <v>2.959042309302808</v>
      </c>
      <c r="M124" t="str">
        <f>D124</f>
        <v>MS</v>
      </c>
    </row>
    <row r="125" spans="1:13" hidden="1" x14ac:dyDescent="0.25">
      <c r="A125" s="64"/>
    </row>
    <row r="126" spans="1:13" hidden="1" x14ac:dyDescent="0.25">
      <c r="A126" s="64"/>
      <c r="D126" t="s">
        <v>8</v>
      </c>
    </row>
    <row r="127" spans="1:13" hidden="1" x14ac:dyDescent="0.25">
      <c r="A127" s="64"/>
    </row>
    <row r="128" spans="1:13" hidden="1" x14ac:dyDescent="0.25">
      <c r="A128" s="64"/>
      <c r="D128" t="s">
        <v>7</v>
      </c>
      <c r="E128">
        <f t="shared" ref="E128:L128" si="23">(E107-(1.65*E105+0.35*E106))/(2.8*E104)</f>
        <v>8.2817460317460316</v>
      </c>
      <c r="F128">
        <f t="shared" si="23"/>
        <v>-0.29756877413127414</v>
      </c>
      <c r="G128">
        <f t="shared" si="23"/>
        <v>-1.4492753623188408E-2</v>
      </c>
      <c r="H128">
        <f t="shared" si="23"/>
        <v>8.2817460317460334</v>
      </c>
      <c r="I128">
        <f t="shared" si="23"/>
        <v>-0.29756877413127414</v>
      </c>
      <c r="J128">
        <f t="shared" si="23"/>
        <v>-1.4492753623188404E-2</v>
      </c>
      <c r="K128">
        <f t="shared" si="23"/>
        <v>0.8667778806006492</v>
      </c>
      <c r="L128">
        <f t="shared" si="23"/>
        <v>0.8667778806006492</v>
      </c>
      <c r="M128" t="str">
        <f t="shared" ref="M128:M133" si="24">D128</f>
        <v>KSK</v>
      </c>
    </row>
    <row r="129" spans="1:13" hidden="1" x14ac:dyDescent="0.25">
      <c r="A129" s="64"/>
      <c r="D129" t="s">
        <v>6</v>
      </c>
      <c r="E129">
        <f t="shared" ref="E129:L129" si="25">(E107)/(2.8*E104+1.65*E105+0.35*E106)</f>
        <v>5.3690476190476186</v>
      </c>
      <c r="F129">
        <f t="shared" si="25"/>
        <v>5.0882346138723779E-3</v>
      </c>
      <c r="G129">
        <f t="shared" si="25"/>
        <v>0</v>
      </c>
      <c r="H129">
        <f t="shared" si="25"/>
        <v>5.3690476190476204</v>
      </c>
      <c r="I129">
        <f t="shared" si="25"/>
        <v>5.0882346138723788E-3</v>
      </c>
      <c r="J129">
        <f t="shared" si="25"/>
        <v>0</v>
      </c>
      <c r="K129">
        <f t="shared" si="25"/>
        <v>0.89099086528203297</v>
      </c>
      <c r="L129">
        <f t="shared" si="25"/>
        <v>0.89099086528203297</v>
      </c>
      <c r="M129" t="str">
        <f t="shared" si="24"/>
        <v>KSG</v>
      </c>
    </row>
    <row r="130" spans="1:13" hidden="1" x14ac:dyDescent="0.25">
      <c r="A130" s="64"/>
      <c r="D130" t="s">
        <v>5</v>
      </c>
      <c r="E130">
        <f t="shared" ref="E130:L130" si="26">(E107)/(2.8*E104+1.1*E105+0.7*E106)</f>
        <v>5.701643489254109</v>
      </c>
      <c r="F130">
        <f t="shared" si="26"/>
        <v>5.3713560232433229E-3</v>
      </c>
      <c r="G130">
        <f t="shared" si="26"/>
        <v>0</v>
      </c>
      <c r="H130">
        <f t="shared" si="26"/>
        <v>5.7016434892541099</v>
      </c>
      <c r="I130">
        <f t="shared" si="26"/>
        <v>5.3713560232433221E-3</v>
      </c>
      <c r="J130">
        <f t="shared" si="26"/>
        <v>0</v>
      </c>
      <c r="K130">
        <f t="shared" si="26"/>
        <v>0.92380549839221293</v>
      </c>
      <c r="L130">
        <f t="shared" si="26"/>
        <v>0.92380549839221293</v>
      </c>
      <c r="M130" t="str">
        <f t="shared" si="24"/>
        <v>KSt</v>
      </c>
    </row>
    <row r="131" spans="1:13" hidden="1" x14ac:dyDescent="0.25">
      <c r="A131" s="64"/>
      <c r="D131" t="s">
        <v>4</v>
      </c>
      <c r="E131">
        <f t="shared" ref="E131:L131" si="27">(E107)/(2.8*E104+1.18*E105+0.65*E106)</f>
        <v>5.6498590667084239</v>
      </c>
      <c r="F131">
        <f t="shared" si="27"/>
        <v>5.3279601662323574E-3</v>
      </c>
      <c r="G131">
        <f t="shared" si="27"/>
        <v>0</v>
      </c>
      <c r="H131">
        <f t="shared" si="27"/>
        <v>5.6498590667084256</v>
      </c>
      <c r="I131">
        <f t="shared" si="27"/>
        <v>5.3279601662323582E-3</v>
      </c>
      <c r="J131">
        <f t="shared" si="27"/>
        <v>0</v>
      </c>
      <c r="K131">
        <f t="shared" si="27"/>
        <v>0.91883677892499516</v>
      </c>
      <c r="L131">
        <f t="shared" si="27"/>
        <v>0.91883677892499516</v>
      </c>
      <c r="M131" t="str">
        <f t="shared" si="24"/>
        <v>KSt I</v>
      </c>
    </row>
    <row r="132" spans="1:13" hidden="1" x14ac:dyDescent="0.25">
      <c r="A132" s="64"/>
      <c r="D132" t="s">
        <v>3</v>
      </c>
      <c r="E132">
        <f t="shared" ref="E132:L132" si="28">((E107+0.75*E108))/(2.8*E104+1.18*E105+0.65*E106)</f>
        <v>5.6498590667084239</v>
      </c>
      <c r="F132">
        <f t="shared" si="28"/>
        <v>5.3279601662323574E-3</v>
      </c>
      <c r="G132">
        <f t="shared" si="28"/>
        <v>0</v>
      </c>
      <c r="H132">
        <f t="shared" si="28"/>
        <v>5.6498590667084256</v>
      </c>
      <c r="I132">
        <f t="shared" si="28"/>
        <v>5.3279601662323582E-3</v>
      </c>
      <c r="J132">
        <f t="shared" si="28"/>
        <v>0</v>
      </c>
      <c r="K132">
        <f t="shared" si="28"/>
        <v>0.91883677892499516</v>
      </c>
      <c r="L132">
        <f t="shared" si="28"/>
        <v>0.91883677892499516</v>
      </c>
      <c r="M132" t="str">
        <f t="shared" si="24"/>
        <v>KSt II</v>
      </c>
    </row>
    <row r="133" spans="1:13" hidden="1" x14ac:dyDescent="0.25">
      <c r="A133" s="64"/>
      <c r="D133" t="s">
        <v>2</v>
      </c>
      <c r="E133">
        <f t="shared" ref="E133:L133" si="29">(E107-0.7*E109)/(2.8*E104+1.2*E105+0.65*E106)</f>
        <v>5.6251948861864669</v>
      </c>
      <c r="F133">
        <f t="shared" si="29"/>
        <v>5.3134962805526046E-3</v>
      </c>
      <c r="G133">
        <f t="shared" si="29"/>
        <v>0</v>
      </c>
      <c r="H133">
        <f t="shared" si="29"/>
        <v>5.6251948861864678</v>
      </c>
      <c r="I133">
        <f t="shared" si="29"/>
        <v>5.3134962805526046E-3</v>
      </c>
      <c r="J133">
        <f t="shared" si="29"/>
        <v>0</v>
      </c>
      <c r="K133">
        <f t="shared" si="29"/>
        <v>0.91696899293780532</v>
      </c>
      <c r="L133">
        <f t="shared" si="29"/>
        <v>0.91696899293780532</v>
      </c>
      <c r="M133" t="str">
        <f t="shared" si="24"/>
        <v>LSF</v>
      </c>
    </row>
    <row r="134" spans="1:13" x14ac:dyDescent="0.25">
      <c r="A134" s="64"/>
    </row>
  </sheetData>
  <mergeCells count="18">
    <mergeCell ref="J13:V13"/>
    <mergeCell ref="J19:V19"/>
    <mergeCell ref="F53:G53"/>
    <mergeCell ref="H53:I53"/>
    <mergeCell ref="C5:H5"/>
    <mergeCell ref="S28:U30"/>
    <mergeCell ref="N29:P29"/>
    <mergeCell ref="N28:P28"/>
    <mergeCell ref="N27:P27"/>
    <mergeCell ref="Q9:R9"/>
    <mergeCell ref="Q10:R10"/>
    <mergeCell ref="Q11:R11"/>
    <mergeCell ref="N21:P21"/>
    <mergeCell ref="N23:P23"/>
    <mergeCell ref="J25:V25"/>
    <mergeCell ref="N22:P22"/>
    <mergeCell ref="J5:V5"/>
    <mergeCell ref="J7:V7"/>
  </mergeCells>
  <pageMargins left="0.7" right="0.7" top="0.75" bottom="0.75" header="0.3" footer="0.3"/>
  <pageSetup orientation="portrait" horizontalDpi="300" verticalDpi="0" copies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49"/>
  <sheetViews>
    <sheetView workbookViewId="0">
      <selection activeCell="A14" sqref="A14"/>
    </sheetView>
  </sheetViews>
  <sheetFormatPr baseColWidth="10" defaultRowHeight="15" x14ac:dyDescent="0.25"/>
  <cols>
    <col min="5" max="5" width="19.28515625" bestFit="1" customWidth="1"/>
    <col min="11" max="11" width="16.7109375" bestFit="1" customWidth="1"/>
    <col min="14" max="14" width="18.42578125" bestFit="1" customWidth="1"/>
  </cols>
  <sheetData>
    <row r="1" spans="1:19" x14ac:dyDescent="0.25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x14ac:dyDescent="0.25">
      <c r="A2" s="71"/>
      <c r="B2" s="71"/>
      <c r="C2" s="71"/>
      <c r="D2" s="71"/>
      <c r="E2" s="71"/>
      <c r="F2" s="71"/>
      <c r="G2" s="71"/>
      <c r="H2" s="71"/>
      <c r="I2" s="71" t="s">
        <v>93</v>
      </c>
      <c r="J2" s="71">
        <v>0.19</v>
      </c>
      <c r="K2" s="71"/>
      <c r="L2" s="71"/>
      <c r="M2" s="71"/>
      <c r="N2" s="71"/>
      <c r="O2" s="71"/>
      <c r="P2" s="71"/>
      <c r="Q2" s="71"/>
      <c r="R2" s="71"/>
      <c r="S2" s="71"/>
    </row>
    <row r="3" spans="1:19" x14ac:dyDescent="0.25">
      <c r="A3" s="71"/>
      <c r="B3" s="71"/>
      <c r="C3" s="71"/>
      <c r="D3" s="71"/>
      <c r="E3" s="71"/>
      <c r="F3" s="71"/>
      <c r="G3" s="71"/>
      <c r="H3" s="71"/>
      <c r="I3" s="71" t="s">
        <v>94</v>
      </c>
      <c r="J3" s="71">
        <v>0.12</v>
      </c>
      <c r="K3" s="71"/>
      <c r="L3" s="71"/>
      <c r="M3" s="71"/>
      <c r="N3" s="71"/>
      <c r="O3" s="71"/>
      <c r="P3" s="71"/>
      <c r="Q3" s="71"/>
      <c r="R3" s="71"/>
      <c r="S3" s="71"/>
    </row>
    <row r="4" spans="1:19" x14ac:dyDescent="0.25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</row>
    <row r="5" spans="1:19" x14ac:dyDescent="0.25">
      <c r="A5" s="71"/>
      <c r="B5" s="71"/>
      <c r="C5" s="71" t="s">
        <v>16</v>
      </c>
      <c r="D5" s="71" t="s">
        <v>15</v>
      </c>
      <c r="E5" s="71" t="s">
        <v>90</v>
      </c>
      <c r="F5" s="71"/>
      <c r="G5" s="71"/>
      <c r="H5" s="71"/>
      <c r="I5" s="71"/>
      <c r="J5" s="71" t="s">
        <v>15</v>
      </c>
      <c r="K5" s="71" t="s">
        <v>90</v>
      </c>
      <c r="L5" s="123" t="s">
        <v>91</v>
      </c>
      <c r="M5" s="71" t="s">
        <v>16</v>
      </c>
      <c r="N5" s="71" t="s">
        <v>95</v>
      </c>
      <c r="O5" s="71"/>
      <c r="P5" s="71"/>
      <c r="Q5" s="71"/>
      <c r="R5" s="71"/>
      <c r="S5" s="71"/>
    </row>
    <row r="6" spans="1:19" x14ac:dyDescent="0.25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</row>
    <row r="7" spans="1:19" x14ac:dyDescent="0.25">
      <c r="A7" s="71"/>
      <c r="B7" s="71" t="s">
        <v>33</v>
      </c>
      <c r="C7" s="124">
        <v>19</v>
      </c>
      <c r="D7" s="124">
        <v>19.850000000000001</v>
      </c>
      <c r="E7" s="9">
        <v>42.95</v>
      </c>
      <c r="F7" s="71"/>
      <c r="G7" s="71"/>
      <c r="H7" s="71"/>
      <c r="I7" s="71" t="s">
        <v>33</v>
      </c>
      <c r="J7" s="124">
        <v>21.5</v>
      </c>
      <c r="K7" s="125">
        <v>47</v>
      </c>
      <c r="L7" s="4">
        <f t="shared" ref="L7:L17" si="0">$J$2*$J$3*K7</f>
        <v>1.0716000000000001</v>
      </c>
      <c r="M7" s="4">
        <f>J7-L7</f>
        <v>20.4284</v>
      </c>
      <c r="N7" s="128">
        <f>M7+(M7*(100-$M$19)/($M$19))</f>
        <v>20.904059327563104</v>
      </c>
      <c r="O7" s="71"/>
      <c r="P7" s="71"/>
      <c r="Q7" s="71"/>
      <c r="R7" s="71"/>
      <c r="S7" s="71"/>
    </row>
    <row r="8" spans="1:19" x14ac:dyDescent="0.25">
      <c r="A8" s="71"/>
      <c r="B8" s="71" t="s">
        <v>32</v>
      </c>
      <c r="C8" s="124">
        <v>8.25</v>
      </c>
      <c r="D8" s="124">
        <v>8.92</v>
      </c>
      <c r="E8" s="9">
        <v>27.88</v>
      </c>
      <c r="F8" s="71"/>
      <c r="G8" s="71"/>
      <c r="H8" s="71"/>
      <c r="I8" s="71" t="s">
        <v>32</v>
      </c>
      <c r="J8" s="124">
        <v>5.2</v>
      </c>
      <c r="K8" s="14">
        <v>29.1</v>
      </c>
      <c r="L8" s="4">
        <f t="shared" si="0"/>
        <v>0.66348000000000007</v>
      </c>
      <c r="M8" s="4">
        <f t="shared" ref="M8:M17" si="1">J8-L8</f>
        <v>4.5365200000000003</v>
      </c>
      <c r="N8" s="128">
        <f t="shared" ref="N8:N17" si="2">M8+(M8*(100-$M$19)/($M$19))</f>
        <v>4.6421493225449169</v>
      </c>
      <c r="O8" s="71"/>
      <c r="P8" s="71"/>
      <c r="Q8" s="71"/>
      <c r="R8" s="71"/>
      <c r="S8" s="71"/>
    </row>
    <row r="9" spans="1:19" x14ac:dyDescent="0.25">
      <c r="A9" s="71"/>
      <c r="B9" s="71" t="s">
        <v>31</v>
      </c>
      <c r="C9" s="124">
        <v>2.8</v>
      </c>
      <c r="D9" s="124">
        <v>3.31</v>
      </c>
      <c r="E9" s="9">
        <v>17.600000000000001</v>
      </c>
      <c r="F9" s="71"/>
      <c r="G9" s="71"/>
      <c r="H9" s="71"/>
      <c r="I9" s="71" t="s">
        <v>31</v>
      </c>
      <c r="J9" s="124">
        <v>3.7</v>
      </c>
      <c r="K9" s="14">
        <v>12.5</v>
      </c>
      <c r="L9" s="4">
        <f t="shared" si="0"/>
        <v>0.28500000000000003</v>
      </c>
      <c r="M9" s="4">
        <f t="shared" si="1"/>
        <v>3.415</v>
      </c>
      <c r="N9" s="128">
        <f t="shared" si="2"/>
        <v>3.4945156059029583</v>
      </c>
      <c r="O9" s="71"/>
      <c r="P9" s="71"/>
      <c r="Q9" s="71"/>
      <c r="R9" s="71"/>
      <c r="S9" s="71"/>
    </row>
    <row r="10" spans="1:19" x14ac:dyDescent="0.25">
      <c r="A10" s="71"/>
      <c r="B10" s="71" t="s">
        <v>30</v>
      </c>
      <c r="C10" s="124">
        <v>66.599999999999994</v>
      </c>
      <c r="D10" s="124">
        <v>64.45</v>
      </c>
      <c r="E10" s="9">
        <v>4.95</v>
      </c>
      <c r="F10" s="71"/>
      <c r="G10" s="71"/>
      <c r="H10" s="71"/>
      <c r="I10" s="71" t="s">
        <v>30</v>
      </c>
      <c r="J10" s="124">
        <v>67.5</v>
      </c>
      <c r="K10" s="14">
        <v>6.6</v>
      </c>
      <c r="L10" s="4">
        <f t="shared" si="0"/>
        <v>0.15048</v>
      </c>
      <c r="M10" s="4">
        <f t="shared" si="1"/>
        <v>67.349519999999998</v>
      </c>
      <c r="N10" s="128">
        <f t="shared" si="2"/>
        <v>68.917700934135695</v>
      </c>
      <c r="O10" s="71"/>
      <c r="P10" s="71"/>
      <c r="Q10" s="71"/>
      <c r="R10" s="71"/>
      <c r="S10" s="71"/>
    </row>
    <row r="11" spans="1:19" x14ac:dyDescent="0.25">
      <c r="A11" s="71"/>
      <c r="B11" s="71" t="s">
        <v>29</v>
      </c>
      <c r="C11" s="124">
        <v>0</v>
      </c>
      <c r="D11" s="124">
        <v>0</v>
      </c>
      <c r="E11" s="9">
        <v>0</v>
      </c>
      <c r="F11" s="71"/>
      <c r="G11" s="71"/>
      <c r="H11" s="71"/>
      <c r="I11" s="71" t="s">
        <v>29</v>
      </c>
      <c r="J11" s="124">
        <v>1.6</v>
      </c>
      <c r="K11" s="14">
        <v>1.8</v>
      </c>
      <c r="L11" s="4">
        <f t="shared" si="0"/>
        <v>4.104E-2</v>
      </c>
      <c r="M11" s="4">
        <f t="shared" si="1"/>
        <v>1.5589600000000001</v>
      </c>
      <c r="N11" s="128">
        <f t="shared" si="2"/>
        <v>1.5952591651474308</v>
      </c>
      <c r="O11" s="71"/>
      <c r="P11" s="71"/>
      <c r="Q11" s="71"/>
      <c r="R11" s="71"/>
      <c r="S11" s="71"/>
    </row>
    <row r="12" spans="1:19" x14ac:dyDescent="0.25">
      <c r="A12" s="71"/>
      <c r="B12" s="71" t="s">
        <v>28</v>
      </c>
      <c r="C12" s="124">
        <v>0</v>
      </c>
      <c r="D12" s="124">
        <v>0</v>
      </c>
      <c r="E12" s="9">
        <v>0</v>
      </c>
      <c r="F12" s="71"/>
      <c r="G12" s="71"/>
      <c r="H12" s="71"/>
      <c r="I12" s="71" t="s">
        <v>92</v>
      </c>
      <c r="J12" s="124">
        <v>0.5</v>
      </c>
      <c r="K12" s="14">
        <v>2.8</v>
      </c>
      <c r="L12" s="4">
        <f t="shared" si="0"/>
        <v>6.3839999999999994E-2</v>
      </c>
      <c r="M12" s="4">
        <f t="shared" si="1"/>
        <v>0.43615999999999999</v>
      </c>
      <c r="N12" s="128">
        <f t="shared" si="2"/>
        <v>0.44631564470589585</v>
      </c>
      <c r="O12" s="71"/>
      <c r="P12" s="71"/>
      <c r="Q12" s="71"/>
      <c r="R12" s="71"/>
      <c r="S12" s="71"/>
    </row>
    <row r="13" spans="1:19" x14ac:dyDescent="0.25">
      <c r="A13" s="71"/>
      <c r="B13" s="71" t="s">
        <v>27</v>
      </c>
      <c r="C13" s="124">
        <v>0</v>
      </c>
      <c r="D13" s="124">
        <v>0</v>
      </c>
      <c r="E13" s="9">
        <v>0</v>
      </c>
      <c r="F13" s="71"/>
      <c r="G13" s="71"/>
      <c r="H13" s="71"/>
      <c r="I13" s="71" t="s">
        <v>28</v>
      </c>
      <c r="J13" s="124">
        <v>0</v>
      </c>
      <c r="K13" s="14">
        <v>0</v>
      </c>
      <c r="L13" s="4">
        <f t="shared" si="0"/>
        <v>0</v>
      </c>
      <c r="M13" s="4">
        <f t="shared" si="1"/>
        <v>0</v>
      </c>
      <c r="N13" s="128">
        <f t="shared" si="2"/>
        <v>0</v>
      </c>
      <c r="O13" s="71"/>
      <c r="P13" s="71"/>
      <c r="Q13" s="71"/>
      <c r="R13" s="71"/>
      <c r="S13" s="71"/>
    </row>
    <row r="14" spans="1:19" x14ac:dyDescent="0.25">
      <c r="A14" s="71"/>
      <c r="B14" s="71" t="s">
        <v>26</v>
      </c>
      <c r="C14" s="124">
        <v>0</v>
      </c>
      <c r="D14" s="124">
        <v>0</v>
      </c>
      <c r="E14" s="9">
        <v>0</v>
      </c>
      <c r="F14" s="71"/>
      <c r="G14" s="71"/>
      <c r="H14" s="71"/>
      <c r="I14" s="71" t="s">
        <v>27</v>
      </c>
      <c r="J14" s="124">
        <v>0</v>
      </c>
      <c r="K14" s="14">
        <v>0</v>
      </c>
      <c r="L14" s="4">
        <f t="shared" si="0"/>
        <v>0</v>
      </c>
      <c r="M14" s="4">
        <f t="shared" si="1"/>
        <v>0</v>
      </c>
      <c r="N14" s="128">
        <f t="shared" si="2"/>
        <v>0</v>
      </c>
      <c r="O14" s="71"/>
      <c r="P14" s="71"/>
      <c r="Q14" s="71"/>
      <c r="R14" s="71"/>
      <c r="S14" s="71"/>
    </row>
    <row r="15" spans="1:19" x14ac:dyDescent="0.25">
      <c r="A15" s="71"/>
      <c r="B15" s="71" t="s">
        <v>25</v>
      </c>
      <c r="C15" s="124">
        <v>0</v>
      </c>
      <c r="D15" s="124">
        <v>0</v>
      </c>
      <c r="E15" s="9">
        <v>0</v>
      </c>
      <c r="F15" s="71"/>
      <c r="G15" s="71"/>
      <c r="H15" s="71"/>
      <c r="I15" s="71" t="s">
        <v>26</v>
      </c>
      <c r="J15" s="124">
        <v>0</v>
      </c>
      <c r="K15" s="14">
        <v>0</v>
      </c>
      <c r="L15" s="4">
        <f t="shared" si="0"/>
        <v>0</v>
      </c>
      <c r="M15" s="4">
        <f t="shared" si="1"/>
        <v>0</v>
      </c>
      <c r="N15" s="128">
        <f t="shared" si="2"/>
        <v>0</v>
      </c>
      <c r="O15" s="71"/>
      <c r="P15" s="71"/>
      <c r="Q15" s="71"/>
      <c r="R15" s="71"/>
      <c r="S15" s="71"/>
    </row>
    <row r="16" spans="1:19" x14ac:dyDescent="0.25">
      <c r="A16" s="71"/>
      <c r="B16" s="71" t="s">
        <v>24</v>
      </c>
      <c r="C16" s="124">
        <v>0</v>
      </c>
      <c r="D16" s="124">
        <v>0</v>
      </c>
      <c r="E16" s="9">
        <v>0</v>
      </c>
      <c r="F16" s="71"/>
      <c r="G16" s="71"/>
      <c r="H16" s="71"/>
      <c r="I16" s="71" t="s">
        <v>25</v>
      </c>
      <c r="J16" s="124">
        <v>0</v>
      </c>
      <c r="K16" s="14">
        <v>0</v>
      </c>
      <c r="L16" s="4">
        <f t="shared" si="0"/>
        <v>0</v>
      </c>
      <c r="M16" s="4">
        <f t="shared" si="1"/>
        <v>0</v>
      </c>
      <c r="N16" s="128">
        <f t="shared" si="2"/>
        <v>0</v>
      </c>
      <c r="O16" s="71"/>
      <c r="P16" s="71"/>
      <c r="Q16" s="71"/>
      <c r="R16" s="71"/>
      <c r="S16" s="71"/>
    </row>
    <row r="17" spans="1:19" x14ac:dyDescent="0.25">
      <c r="A17" s="71"/>
      <c r="B17" s="71" t="s">
        <v>23</v>
      </c>
      <c r="C17" s="124">
        <v>0</v>
      </c>
      <c r="D17" s="124">
        <v>0</v>
      </c>
      <c r="E17" s="9">
        <v>0</v>
      </c>
      <c r="F17" s="71"/>
      <c r="G17" s="71"/>
      <c r="H17" s="71"/>
      <c r="I17" s="71" t="s">
        <v>24</v>
      </c>
      <c r="J17" s="124">
        <v>0</v>
      </c>
      <c r="K17" s="14">
        <v>0</v>
      </c>
      <c r="L17" s="4">
        <f t="shared" si="0"/>
        <v>0</v>
      </c>
      <c r="M17" s="4">
        <f t="shared" si="1"/>
        <v>0</v>
      </c>
      <c r="N17" s="128">
        <f t="shared" si="2"/>
        <v>0</v>
      </c>
      <c r="O17" s="71"/>
      <c r="P17" s="71"/>
      <c r="Q17" s="71"/>
      <c r="R17" s="71"/>
      <c r="S17" s="71"/>
    </row>
    <row r="18" spans="1:19" x14ac:dyDescent="0.25">
      <c r="A18" s="71"/>
      <c r="B18" s="71" t="s">
        <v>22</v>
      </c>
      <c r="C18" s="124">
        <v>0</v>
      </c>
      <c r="D18" s="124">
        <v>0</v>
      </c>
      <c r="E18" s="9">
        <v>0</v>
      </c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</row>
    <row r="19" spans="1:19" x14ac:dyDescent="0.25">
      <c r="A19" s="71"/>
      <c r="B19" s="71"/>
      <c r="C19" s="71"/>
      <c r="D19" s="71"/>
      <c r="E19" s="71"/>
      <c r="F19" s="71"/>
      <c r="G19" s="71"/>
      <c r="H19" s="71"/>
      <c r="I19" s="71" t="s">
        <v>21</v>
      </c>
      <c r="J19" s="7">
        <f>SUM(J7:J17)</f>
        <v>100</v>
      </c>
      <c r="K19" s="7">
        <f>SUM(K7:K17)</f>
        <v>99.799999999999983</v>
      </c>
      <c r="L19" s="7">
        <f>SUM(L7:L17)</f>
        <v>2.2754400000000001</v>
      </c>
      <c r="M19" s="7">
        <f>SUM(M7:M17)</f>
        <v>97.724559999999997</v>
      </c>
      <c r="N19" s="7">
        <f>SUM(N7:N17)</f>
        <v>99.999999999999986</v>
      </c>
      <c r="O19" s="71"/>
      <c r="P19" s="71"/>
      <c r="Q19" s="71"/>
      <c r="R19" s="71"/>
      <c r="S19" s="71"/>
    </row>
    <row r="20" spans="1:19" x14ac:dyDescent="0.25">
      <c r="A20" s="71"/>
      <c r="B20" s="71" t="s">
        <v>21</v>
      </c>
      <c r="C20" s="7">
        <f>SUM(C7:C18)</f>
        <v>96.649999999999991</v>
      </c>
      <c r="D20" s="7">
        <f>SUM(D7:D18)</f>
        <v>96.53</v>
      </c>
      <c r="E20" s="7">
        <f>SUM(E7:E18)</f>
        <v>93.38000000000001</v>
      </c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</row>
    <row r="21" spans="1:19" x14ac:dyDescent="0.25">
      <c r="A21" s="71"/>
      <c r="B21" s="71"/>
      <c r="C21" s="71"/>
      <c r="D21" s="71"/>
      <c r="E21" s="71"/>
      <c r="F21" s="71"/>
      <c r="G21" s="71"/>
      <c r="H21" s="71"/>
      <c r="I21" s="161" t="s">
        <v>13</v>
      </c>
      <c r="J21" s="161"/>
      <c r="K21" s="161"/>
      <c r="L21" s="161"/>
      <c r="M21" s="161"/>
      <c r="N21" s="161"/>
      <c r="O21" s="161"/>
      <c r="P21" s="71"/>
      <c r="Q21" s="71"/>
      <c r="R21" s="71"/>
      <c r="S21" s="71"/>
    </row>
    <row r="22" spans="1:19" x14ac:dyDescent="0.25">
      <c r="A22" s="71"/>
      <c r="B22" s="71"/>
      <c r="C22" s="71" t="s">
        <v>83</v>
      </c>
      <c r="D22" s="122">
        <f>100*(D10-C10)/(E10-C10)</f>
        <v>3.4874290348742769</v>
      </c>
      <c r="E22" s="71"/>
      <c r="F22" s="71"/>
      <c r="G22" s="71"/>
      <c r="H22" s="71"/>
      <c r="I22" s="161"/>
      <c r="J22" s="161"/>
      <c r="K22" s="161"/>
      <c r="L22" s="161"/>
      <c r="M22" s="161"/>
      <c r="N22" s="161"/>
      <c r="O22" s="161"/>
      <c r="P22" s="71"/>
      <c r="Q22" s="71"/>
      <c r="R22" s="71"/>
      <c r="S22" s="71"/>
    </row>
    <row r="23" spans="1:19" x14ac:dyDescent="0.25">
      <c r="A23" s="71"/>
      <c r="B23" s="71"/>
      <c r="C23" s="71" t="s">
        <v>84</v>
      </c>
      <c r="D23" s="122">
        <f>100*(D7-C7)/(E7-C7)</f>
        <v>3.5490605427975002</v>
      </c>
      <c r="E23" s="71"/>
      <c r="F23" s="71" t="s">
        <v>88</v>
      </c>
      <c r="G23" s="71"/>
      <c r="H23" s="71"/>
      <c r="I23" s="71"/>
      <c r="J23" s="2"/>
      <c r="K23" s="2"/>
      <c r="L23" s="2"/>
      <c r="M23" s="2"/>
      <c r="N23" s="2"/>
      <c r="O23" s="71"/>
      <c r="P23" s="71"/>
      <c r="Q23" s="71"/>
      <c r="R23" s="71"/>
      <c r="S23" s="71"/>
    </row>
    <row r="24" spans="1:19" x14ac:dyDescent="0.25">
      <c r="A24" s="71"/>
      <c r="B24" s="71"/>
      <c r="C24" s="71" t="s">
        <v>85</v>
      </c>
      <c r="D24" s="122">
        <f>100*(D8-C8)/(E8-C8)</f>
        <v>3.4131431482424861</v>
      </c>
      <c r="E24" s="71"/>
      <c r="F24" s="122">
        <f ca="1">AVERAGE(F23:F25)</f>
        <v>3.4693832123286446</v>
      </c>
      <c r="G24" s="71"/>
      <c r="H24" s="71"/>
      <c r="I24" s="71" t="s">
        <v>12</v>
      </c>
      <c r="J24" s="2">
        <f>J10/(J9+J8+J7)</f>
        <v>2.2203947368421053</v>
      </c>
      <c r="K24" s="2">
        <f>K10/(K9+K8+K7)</f>
        <v>7.4492099322799099E-2</v>
      </c>
      <c r="L24" s="2">
        <f>L10/(L9+L8+L7)</f>
        <v>7.4492099322799099E-2</v>
      </c>
      <c r="M24" s="2">
        <f>M10/(M9+M8+M7)</f>
        <v>2.3731398820010767</v>
      </c>
      <c r="N24" s="3">
        <f>N10/(N9+N8+N7)</f>
        <v>2.3731398820010767</v>
      </c>
      <c r="O24" s="127" t="str">
        <f>I24</f>
        <v>MH</v>
      </c>
      <c r="P24" s="71"/>
      <c r="Q24" s="71"/>
      <c r="R24" s="71"/>
      <c r="S24" s="71"/>
    </row>
    <row r="25" spans="1:19" x14ac:dyDescent="0.25">
      <c r="A25" s="71"/>
      <c r="B25" s="71"/>
      <c r="C25" s="71" t="s">
        <v>86</v>
      </c>
      <c r="D25" s="122">
        <f>100*(D9-C9)/(E9-C9)</f>
        <v>3.4459459459459474</v>
      </c>
      <c r="E25" s="71"/>
      <c r="F25" s="71"/>
      <c r="G25" s="71"/>
      <c r="H25" s="71"/>
      <c r="I25" s="71" t="s">
        <v>11</v>
      </c>
      <c r="J25" s="2">
        <f>J7/(J8+J9)</f>
        <v>2.4157303370786516</v>
      </c>
      <c r="K25" s="2">
        <f>K7/(K8+K9)</f>
        <v>1.1298076923076923</v>
      </c>
      <c r="L25" s="2">
        <f>L7/(L8+L9)</f>
        <v>1.1298076923076923</v>
      </c>
      <c r="M25" s="2">
        <f>M7/(M8+M9)</f>
        <v>2.5691188602933779</v>
      </c>
      <c r="N25" s="3">
        <f>N7/(N8+N9)</f>
        <v>2.5691188602933779</v>
      </c>
      <c r="O25" s="127" t="str">
        <f>I25</f>
        <v>SM</v>
      </c>
      <c r="P25" s="71"/>
      <c r="Q25" s="71"/>
      <c r="R25" s="71"/>
      <c r="S25" s="71"/>
    </row>
    <row r="26" spans="1:19" x14ac:dyDescent="0.25">
      <c r="A26" s="71"/>
      <c r="B26" s="71"/>
      <c r="C26" s="71"/>
      <c r="D26" s="71"/>
      <c r="E26" s="71"/>
      <c r="F26" s="71"/>
      <c r="G26" s="71"/>
      <c r="H26" s="71"/>
      <c r="I26" s="71" t="s">
        <v>10</v>
      </c>
      <c r="J26" s="2">
        <f>J8/J9</f>
        <v>1.4054054054054055</v>
      </c>
      <c r="K26" s="2">
        <f>K8/K9</f>
        <v>2.3280000000000003</v>
      </c>
      <c r="L26" s="2">
        <f>L8/L9</f>
        <v>2.3279999999999998</v>
      </c>
      <c r="M26" s="2">
        <f>M8/M9</f>
        <v>1.3284099560761349</v>
      </c>
      <c r="N26" s="3">
        <f>N8/N9</f>
        <v>1.3284099560761349</v>
      </c>
      <c r="O26" s="127" t="str">
        <f>I26</f>
        <v>TM</v>
      </c>
      <c r="P26" s="71"/>
      <c r="Q26" s="71"/>
      <c r="R26" s="71"/>
      <c r="S26" s="71"/>
    </row>
    <row r="27" spans="1:19" x14ac:dyDescent="0.25">
      <c r="A27" s="71"/>
      <c r="B27" s="71"/>
      <c r="C27" s="71"/>
      <c r="D27" s="71"/>
      <c r="E27" s="71"/>
      <c r="F27" s="71"/>
      <c r="G27" s="71"/>
      <c r="H27" s="71"/>
      <c r="I27" s="71"/>
      <c r="J27" s="2"/>
      <c r="K27" s="2"/>
      <c r="L27" s="2"/>
      <c r="M27" s="2"/>
      <c r="N27" s="2"/>
      <c r="O27" s="71"/>
      <c r="P27" s="71"/>
      <c r="Q27" s="71"/>
      <c r="R27" s="71"/>
      <c r="S27" s="71"/>
    </row>
    <row r="28" spans="1:19" x14ac:dyDescent="0.25">
      <c r="A28" s="71"/>
      <c r="B28" s="71"/>
      <c r="C28" s="71"/>
      <c r="D28" s="71"/>
      <c r="E28" s="71"/>
      <c r="F28" s="71"/>
      <c r="G28" s="71"/>
      <c r="H28" s="71"/>
      <c r="I28" s="161" t="s">
        <v>8</v>
      </c>
      <c r="J28" s="161"/>
      <c r="K28" s="161"/>
      <c r="L28" s="161"/>
      <c r="M28" s="161"/>
      <c r="N28" s="161"/>
      <c r="O28" s="161"/>
      <c r="P28" s="71"/>
      <c r="Q28" s="71"/>
      <c r="R28" s="71"/>
      <c r="S28" s="71"/>
    </row>
    <row r="29" spans="1:19" x14ac:dyDescent="0.25">
      <c r="A29" s="71"/>
      <c r="B29" s="71"/>
      <c r="C29" s="71"/>
      <c r="D29" s="71"/>
      <c r="E29" s="71"/>
      <c r="F29" s="71"/>
      <c r="G29" s="71"/>
      <c r="H29" s="71"/>
      <c r="I29" s="161"/>
      <c r="J29" s="161"/>
      <c r="K29" s="161"/>
      <c r="L29" s="161"/>
      <c r="M29" s="161"/>
      <c r="N29" s="161"/>
      <c r="O29" s="161"/>
      <c r="P29" s="71"/>
      <c r="Q29" s="71"/>
      <c r="R29" s="71"/>
      <c r="S29" s="71"/>
    </row>
    <row r="30" spans="1:19" x14ac:dyDescent="0.25">
      <c r="A30" s="71"/>
      <c r="B30" s="71"/>
      <c r="C30" s="71"/>
      <c r="D30" s="71"/>
      <c r="E30" s="71"/>
      <c r="F30" s="71"/>
      <c r="G30" s="71"/>
      <c r="H30" s="71"/>
      <c r="I30" s="71"/>
      <c r="J30" s="2"/>
      <c r="K30" s="2"/>
      <c r="L30" s="2"/>
      <c r="M30" s="2"/>
      <c r="N30" s="2"/>
      <c r="O30" s="71"/>
      <c r="P30" s="71"/>
      <c r="Q30" s="71"/>
      <c r="R30" s="71"/>
      <c r="S30" s="71"/>
    </row>
    <row r="31" spans="1:19" x14ac:dyDescent="0.25">
      <c r="A31" s="71"/>
      <c r="B31" s="71"/>
      <c r="C31" s="71"/>
      <c r="D31" s="71"/>
      <c r="E31" s="71"/>
      <c r="F31" s="71"/>
      <c r="G31" s="71"/>
      <c r="H31" s="71"/>
      <c r="I31" s="71" t="s">
        <v>6</v>
      </c>
      <c r="J31" s="2">
        <f>(J10)/(2.8*J7+1.65*J8+0.35*J9)</f>
        <v>0.9632536567962896</v>
      </c>
      <c r="K31" s="2">
        <f>(K10)/(2.8*K7+1.65*K8+0.35*K9)</f>
        <v>3.5871514756236747E-2</v>
      </c>
      <c r="L31" s="2">
        <f>(L10)/(2.8*L7+1.65*L8+0.35*L9)</f>
        <v>3.5871514756236754E-2</v>
      </c>
      <c r="M31" s="2">
        <f>(M10)/(2.8*M7+1.65*M8+0.35*M9)</f>
        <v>1.022305576433574</v>
      </c>
      <c r="N31" s="3">
        <f>(N10)/(2.8*N7+1.65*N8+0.35*N9)</f>
        <v>1.022305576433574</v>
      </c>
      <c r="O31" s="127" t="str">
        <f>I31</f>
        <v>KSG</v>
      </c>
      <c r="P31" s="71"/>
      <c r="Q31" s="71"/>
      <c r="R31" s="71"/>
      <c r="S31" s="71"/>
    </row>
    <row r="32" spans="1:19" x14ac:dyDescent="0.25">
      <c r="A32" s="71"/>
      <c r="B32" s="71"/>
      <c r="C32" s="71"/>
      <c r="D32" s="71"/>
      <c r="E32" s="71"/>
      <c r="F32" s="71"/>
      <c r="G32" s="71"/>
      <c r="H32" s="71"/>
      <c r="I32" s="71" t="s">
        <v>5</v>
      </c>
      <c r="J32" s="2">
        <f>(J10)/(2.8*J7+1.1*J8+0.7*J9)</f>
        <v>0.98525762662385041</v>
      </c>
      <c r="K32" s="2">
        <f>(K10)/(2.8*K7+1.1*K8+0.7*K9)</f>
        <v>3.8291947087491292E-2</v>
      </c>
      <c r="L32" s="2">
        <f>(L10)/(2.8*L7+1.1*L8+0.7*L9)</f>
        <v>3.8291947087491299E-2</v>
      </c>
      <c r="M32" s="2">
        <f>(M10)/(2.8*M7+1.1*M8+0.7*M9)</f>
        <v>1.0428820031999906</v>
      </c>
      <c r="N32" s="3">
        <f>(N10)/(2.8*N7+1.1*N8+0.7*N9)</f>
        <v>1.0428820031999904</v>
      </c>
      <c r="O32" s="127" t="str">
        <f>I32</f>
        <v>KSt</v>
      </c>
      <c r="P32" s="71"/>
      <c r="Q32" s="71"/>
      <c r="R32" s="71"/>
      <c r="S32" s="71"/>
    </row>
    <row r="33" spans="1:19" x14ac:dyDescent="0.25">
      <c r="A33" s="71"/>
      <c r="B33" s="71"/>
      <c r="C33" s="71"/>
      <c r="D33" s="71"/>
      <c r="E33" s="71"/>
      <c r="F33" s="71"/>
      <c r="G33" s="71"/>
      <c r="H33" s="71"/>
      <c r="I33" s="71" t="s">
        <v>4</v>
      </c>
      <c r="J33" s="2">
        <f>(J10)/(2.8*J7+1.18*J8+0.65*J9)</f>
        <v>0.98194672757160939</v>
      </c>
      <c r="K33" s="2">
        <f>(K10)/(2.8*K7+1.18*K8+0.65*K9)</f>
        <v>3.7917305803071302E-2</v>
      </c>
      <c r="L33" s="2">
        <f>(L10)/(2.8*L7+1.18*L8+0.65*L9)</f>
        <v>3.7917305803071302E-2</v>
      </c>
      <c r="M33" s="2">
        <f>(M10)/(2.8*M7+1.18*M8+0.65*M9)</f>
        <v>1.0397879011473963</v>
      </c>
      <c r="N33" s="3">
        <f>(N10)/(2.8*N7+1.18*N8+0.65*N9)</f>
        <v>1.0397879011473961</v>
      </c>
      <c r="O33" s="127" t="str">
        <f>I33</f>
        <v>KSt I</v>
      </c>
      <c r="P33" s="71"/>
      <c r="Q33" s="71"/>
      <c r="R33" s="71"/>
      <c r="S33" s="71"/>
    </row>
    <row r="34" spans="1:19" x14ac:dyDescent="0.25">
      <c r="A34" s="71"/>
      <c r="B34" s="71"/>
      <c r="C34" s="71"/>
      <c r="D34" s="71"/>
      <c r="E34" s="71"/>
      <c r="F34" s="71"/>
      <c r="G34" s="71"/>
      <c r="H34" s="71"/>
      <c r="I34" s="71" t="s">
        <v>7</v>
      </c>
      <c r="J34" s="2">
        <f>(J10-(1.65*J8+0.35*J9))/(2.8*J7)</f>
        <v>0.95722591362126253</v>
      </c>
      <c r="K34" s="2">
        <f>(K10-(1.65*K8+0.35*K9))/(2.8*K7)</f>
        <v>-0.34794832826747724</v>
      </c>
      <c r="L34" s="2">
        <f>(L10-(1.65*L8+0.35*L9))/(2.8*L7)</f>
        <v>-0.34794832826747724</v>
      </c>
      <c r="M34" s="2">
        <f>(M10-(1.65*M8+0.35*M9))/(2.8*M7)</f>
        <v>1.0256906351661692</v>
      </c>
      <c r="N34" s="3">
        <f>(N10-(1.65*N8+0.35*N9))/(2.8*N7)</f>
        <v>1.0256906351661692</v>
      </c>
      <c r="O34" s="127" t="s">
        <v>7</v>
      </c>
      <c r="P34" s="71"/>
      <c r="Q34" s="71"/>
      <c r="R34" s="71"/>
      <c r="S34" s="71"/>
    </row>
    <row r="35" spans="1:19" x14ac:dyDescent="0.25">
      <c r="A35" s="71"/>
      <c r="B35" s="71"/>
      <c r="C35" s="71"/>
      <c r="D35" s="71"/>
      <c r="E35" s="71"/>
      <c r="F35" s="71"/>
      <c r="G35" s="71"/>
      <c r="H35" s="71"/>
      <c r="I35" s="71" t="s">
        <v>3</v>
      </c>
      <c r="J35" s="2">
        <f>((J10+0.75*J11))/(2.8*J7+1.18*J8+0.65*J9)</f>
        <v>0.99940355828399363</v>
      </c>
      <c r="K35" s="2">
        <f>((K10+0.75*K11))/(2.8*K7+1.18*K8+0.65*K9)</f>
        <v>4.567311835369952E-2</v>
      </c>
      <c r="L35" s="2">
        <f>((L10+0.75*L11))/(2.8*L7+1.18*L8+0.65*L9)</f>
        <v>4.5673118353699527E-2</v>
      </c>
      <c r="M35" s="2">
        <f>((M10+0.75*M11))/(2.8*M7+1.18*M8+0.65*M9)</f>
        <v>1.0578391182871703</v>
      </c>
      <c r="N35" s="3">
        <f>((N10+0.75*N11))/(2.8*N7+1.18*N8+0.65*N9)</f>
        <v>1.05783911828717</v>
      </c>
      <c r="O35" s="127" t="str">
        <f>I35</f>
        <v>KSt II</v>
      </c>
      <c r="P35" s="71"/>
      <c r="Q35" s="71"/>
      <c r="R35" s="71"/>
      <c r="S35" s="71"/>
    </row>
    <row r="36" spans="1:19" x14ac:dyDescent="0.25">
      <c r="A36" s="71"/>
      <c r="B36" s="71"/>
      <c r="C36" s="71"/>
      <c r="D36" s="71"/>
      <c r="E36" s="71"/>
      <c r="F36" s="71"/>
      <c r="G36" s="71"/>
      <c r="H36" s="71"/>
      <c r="I36" s="71" t="s">
        <v>2</v>
      </c>
      <c r="J36" s="2">
        <f>(J10-0.7*J12)/(2.8*J7+1.2*J8+0.65*J9)</f>
        <v>0.97537947563366989</v>
      </c>
      <c r="K36" s="2">
        <f>(K10-0.7*K12)/(2.8*K7+1.2*K8+0.65*K9)</f>
        <v>2.6568181167511237E-2</v>
      </c>
      <c r="L36" s="2">
        <f>(L10-0.7*L12)/(2.8*L7+1.2*L8+0.65*L9)</f>
        <v>2.6568181167511241E-2</v>
      </c>
      <c r="M36" s="2">
        <f>(M10-0.7*M12)/(2.8*M7+1.2*M8+0.65*M9)</f>
        <v>1.0336264255294392</v>
      </c>
      <c r="N36" s="3">
        <f>(N10-0.7*N12)/(2.8*N7+1.2*N8+0.65*N9)</f>
        <v>1.033626425529439</v>
      </c>
      <c r="O36" s="127" t="str">
        <f>I36</f>
        <v>LSF</v>
      </c>
      <c r="P36" s="71"/>
      <c r="Q36" s="71"/>
      <c r="R36" s="71"/>
      <c r="S36" s="71"/>
    </row>
    <row r="37" spans="1:19" x14ac:dyDescent="0.25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</row>
    <row r="38" spans="1:19" x14ac:dyDescent="0.25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</row>
    <row r="39" spans="1:19" x14ac:dyDescent="0.25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</row>
    <row r="40" spans="1:19" x14ac:dyDescent="0.25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</row>
    <row r="41" spans="1:19" x14ac:dyDescent="0.25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</row>
    <row r="42" spans="1:19" x14ac:dyDescent="0.25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</row>
    <row r="43" spans="1:19" x14ac:dyDescent="0.25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</row>
    <row r="44" spans="1:19" x14ac:dyDescent="0.25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</row>
    <row r="45" spans="1:19" x14ac:dyDescent="0.2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</row>
    <row r="46" spans="1:19" x14ac:dyDescent="0.25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</row>
    <row r="47" spans="1:19" x14ac:dyDescent="0.25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</row>
    <row r="48" spans="1:19" x14ac:dyDescent="0.25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</row>
    <row r="49" spans="1:19" x14ac:dyDescent="0.25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</row>
  </sheetData>
  <mergeCells count="2">
    <mergeCell ref="I21:O22"/>
    <mergeCell ref="I28:O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B104"/>
  <sheetViews>
    <sheetView topLeftCell="A13" zoomScale="70" zoomScaleNormal="70" workbookViewId="0">
      <selection activeCell="A101" sqref="A101"/>
    </sheetView>
  </sheetViews>
  <sheetFormatPr baseColWidth="10" defaultRowHeight="15" x14ac:dyDescent="0.25"/>
  <cols>
    <col min="1" max="1" width="16.7109375" bestFit="1" customWidth="1"/>
    <col min="3" max="3" width="21.140625" bestFit="1" customWidth="1"/>
    <col min="4" max="4" width="21" bestFit="1" customWidth="1"/>
    <col min="5" max="5" width="13.5703125" bestFit="1" customWidth="1"/>
    <col min="8" max="8" width="10" bestFit="1" customWidth="1"/>
    <col min="9" max="9" width="8.28515625" bestFit="1" customWidth="1"/>
    <col min="10" max="10" width="11.85546875" customWidth="1"/>
    <col min="11" max="11" width="12.42578125" bestFit="1" customWidth="1"/>
    <col min="12" max="12" width="11.140625" bestFit="1" customWidth="1"/>
    <col min="13" max="13" width="34" customWidth="1"/>
    <col min="14" max="14" width="1.5703125" customWidth="1"/>
    <col min="28" max="28" width="1.85546875" customWidth="1"/>
  </cols>
  <sheetData>
    <row r="2" spans="1:28" x14ac:dyDescent="0.25">
      <c r="C2" s="71" t="s">
        <v>12</v>
      </c>
      <c r="D2" s="71" t="s">
        <v>51</v>
      </c>
    </row>
    <row r="3" spans="1:28" x14ac:dyDescent="0.25">
      <c r="C3" s="71" t="s">
        <v>11</v>
      </c>
      <c r="D3" s="71" t="s">
        <v>50</v>
      </c>
    </row>
    <row r="4" spans="1:28" ht="15.75" thickBot="1" x14ac:dyDescent="0.3">
      <c r="C4" s="71" t="s">
        <v>9</v>
      </c>
      <c r="D4" s="71" t="s">
        <v>49</v>
      </c>
    </row>
    <row r="5" spans="1:28" ht="21" x14ac:dyDescent="0.25">
      <c r="C5" s="71" t="s">
        <v>10</v>
      </c>
      <c r="D5" s="71" t="s">
        <v>48</v>
      </c>
      <c r="N5" s="26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28"/>
    </row>
    <row r="6" spans="1:28" ht="21" x14ac:dyDescent="0.25">
      <c r="C6" s="71" t="s">
        <v>7</v>
      </c>
      <c r="D6" s="71" t="s">
        <v>47</v>
      </c>
      <c r="N6" s="60"/>
      <c r="O6" s="168" t="s">
        <v>71</v>
      </c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76"/>
    </row>
    <row r="7" spans="1:28" ht="21" x14ac:dyDescent="0.25">
      <c r="C7" s="71" t="s">
        <v>6</v>
      </c>
      <c r="D7" s="71" t="s">
        <v>46</v>
      </c>
      <c r="N7" s="60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76"/>
    </row>
    <row r="8" spans="1:28" ht="21" x14ac:dyDescent="0.25">
      <c r="C8" s="71" t="s">
        <v>5</v>
      </c>
      <c r="D8" s="71" t="s">
        <v>44</v>
      </c>
      <c r="N8" s="63"/>
      <c r="O8" s="168" t="s">
        <v>80</v>
      </c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76"/>
    </row>
    <row r="9" spans="1:28" ht="21.75" thickBot="1" x14ac:dyDescent="0.3">
      <c r="C9" s="71" t="s">
        <v>96</v>
      </c>
      <c r="D9" s="71" t="s">
        <v>94</v>
      </c>
      <c r="N9" s="63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76"/>
    </row>
    <row r="10" spans="1:28" ht="21.75" thickBot="1" x14ac:dyDescent="0.3">
      <c r="C10" s="71" t="s">
        <v>4</v>
      </c>
      <c r="D10" s="71" t="s">
        <v>44</v>
      </c>
      <c r="N10" s="63"/>
      <c r="O10" s="101"/>
      <c r="P10" s="101"/>
      <c r="Q10" s="101"/>
      <c r="R10" s="101"/>
      <c r="S10" s="101"/>
      <c r="T10" s="101"/>
      <c r="U10" s="182" t="s">
        <v>14</v>
      </c>
      <c r="V10" s="183"/>
      <c r="W10" s="101"/>
      <c r="X10" s="101"/>
      <c r="Y10" s="101"/>
      <c r="Z10" s="101"/>
      <c r="AA10" s="101"/>
      <c r="AB10" s="76"/>
    </row>
    <row r="11" spans="1:28" ht="21" x14ac:dyDescent="0.25">
      <c r="C11" s="71" t="s">
        <v>3</v>
      </c>
      <c r="D11" s="71" t="s">
        <v>44</v>
      </c>
      <c r="N11" s="63"/>
      <c r="O11" s="101"/>
      <c r="P11" s="184" t="str">
        <f>D22</f>
        <v>CALIZA</v>
      </c>
      <c r="Q11" s="185"/>
      <c r="R11" s="185"/>
      <c r="S11" s="186"/>
      <c r="T11" s="116" t="str">
        <f>C62</f>
        <v>X</v>
      </c>
      <c r="U11" s="187">
        <f>D62*100</f>
        <v>71.394911300209557</v>
      </c>
      <c r="V11" s="188"/>
      <c r="W11" s="101"/>
      <c r="X11" s="101"/>
      <c r="Y11" s="101"/>
      <c r="Z11" s="101"/>
      <c r="AA11" s="101"/>
      <c r="AB11" s="76"/>
    </row>
    <row r="12" spans="1:28" ht="21" x14ac:dyDescent="0.25">
      <c r="C12" s="71" t="s">
        <v>2</v>
      </c>
      <c r="D12" s="71" t="s">
        <v>43</v>
      </c>
      <c r="N12" s="63"/>
      <c r="O12" s="101"/>
      <c r="P12" s="177" t="str">
        <f>E22</f>
        <v>ESCORIAS DE HORNO ALTO</v>
      </c>
      <c r="Q12" s="178"/>
      <c r="R12" s="178"/>
      <c r="S12" s="179"/>
      <c r="T12" s="117" t="str">
        <f>C63</f>
        <v>Y</v>
      </c>
      <c r="U12" s="180">
        <f>D63*100</f>
        <v>24.874088699790462</v>
      </c>
      <c r="V12" s="181"/>
      <c r="W12" s="101"/>
      <c r="X12" s="101"/>
      <c r="Y12" s="101"/>
      <c r="Z12" s="101"/>
      <c r="AA12" s="101"/>
      <c r="AB12" s="76"/>
    </row>
    <row r="13" spans="1:28" ht="21.75" thickBot="1" x14ac:dyDescent="0.3">
      <c r="A13" s="71"/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63"/>
      <c r="O13" s="101"/>
      <c r="P13" s="172" t="str">
        <f>F22</f>
        <v>CENIZAS DE PIRITA</v>
      </c>
      <c r="Q13" s="173"/>
      <c r="R13" s="173"/>
      <c r="S13" s="174"/>
      <c r="T13" s="118" t="str">
        <f>C64</f>
        <v>q</v>
      </c>
      <c r="U13" s="175">
        <f>D64*100</f>
        <v>3.7309999999999994</v>
      </c>
      <c r="V13" s="176"/>
      <c r="W13" s="101"/>
      <c r="X13" s="101"/>
      <c r="Y13" s="101"/>
      <c r="Z13" s="101"/>
      <c r="AA13" s="101"/>
      <c r="AB13" s="76"/>
    </row>
    <row r="14" spans="1:28" ht="21" x14ac:dyDescent="0.25">
      <c r="A14" s="71"/>
      <c r="B14" s="71"/>
      <c r="C14" s="161" t="s">
        <v>58</v>
      </c>
      <c r="D14" s="161"/>
      <c r="E14" s="161"/>
      <c r="F14" s="161"/>
      <c r="G14" s="161"/>
      <c r="H14" s="161"/>
      <c r="I14" s="161"/>
      <c r="J14" s="161"/>
      <c r="K14" s="161"/>
      <c r="L14" s="161"/>
      <c r="M14" s="71"/>
      <c r="N14" s="63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76"/>
    </row>
    <row r="15" spans="1:28" ht="21" x14ac:dyDescent="0.25">
      <c r="A15" s="71"/>
      <c r="B15" s="71"/>
      <c r="C15" s="71" t="s">
        <v>57</v>
      </c>
      <c r="D15" s="71" t="s">
        <v>56</v>
      </c>
      <c r="E15" s="71"/>
      <c r="F15" s="71"/>
      <c r="G15" s="71"/>
      <c r="H15" s="71"/>
      <c r="I15" s="71"/>
      <c r="J15" s="71"/>
      <c r="K15" s="71"/>
      <c r="L15" s="71"/>
      <c r="M15" s="71"/>
      <c r="N15" s="63"/>
      <c r="O15" s="168" t="s">
        <v>79</v>
      </c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76"/>
    </row>
    <row r="16" spans="1:28" ht="21.75" thickBot="1" x14ac:dyDescent="0.3">
      <c r="A16" s="71"/>
      <c r="B16" s="71"/>
      <c r="C16" s="99" t="s">
        <v>7</v>
      </c>
      <c r="D16" s="129">
        <v>0.9</v>
      </c>
      <c r="E16" s="71"/>
      <c r="F16" s="71"/>
      <c r="I16" s="71"/>
      <c r="J16" s="71"/>
      <c r="M16" s="71"/>
      <c r="N16" s="63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76"/>
    </row>
    <row r="17" spans="1:28" ht="21" x14ac:dyDescent="0.25">
      <c r="A17" s="71"/>
      <c r="B17" s="71"/>
      <c r="C17" s="99" t="s">
        <v>96</v>
      </c>
      <c r="D17" s="129">
        <v>35</v>
      </c>
      <c r="E17" s="161" t="str">
        <f>IF($C$17="CZ","CONSUMO DE CARBON"," ")</f>
        <v>CONSUMO DE CARBON</v>
      </c>
      <c r="F17" s="161"/>
      <c r="I17" s="71"/>
      <c r="J17" s="71"/>
      <c r="M17" s="71"/>
      <c r="N17" s="63"/>
      <c r="P17" s="103" t="str">
        <f>I23</f>
        <v>SiO2</v>
      </c>
      <c r="Q17" s="103" t="str">
        <f>I24</f>
        <v>Al2O3</v>
      </c>
      <c r="R17" s="103" t="str">
        <f>I25</f>
        <v>Fe2O3</v>
      </c>
      <c r="S17" s="103" t="str">
        <f>I26</f>
        <v>CaO</v>
      </c>
      <c r="T17" s="103" t="str">
        <f>I27</f>
        <v>MgO</v>
      </c>
      <c r="U17" s="103" t="str">
        <f>I28</f>
        <v>SO3</v>
      </c>
      <c r="V17" s="103" t="str">
        <f>I29</f>
        <v>P.C.</v>
      </c>
      <c r="W17" s="103" t="str">
        <f>I30</f>
        <v>Resto</v>
      </c>
      <c r="X17" s="103" t="str">
        <f>I31</f>
        <v>TiO2</v>
      </c>
      <c r="Y17" s="103" t="str">
        <f>I32</f>
        <v>Mn2O3</v>
      </c>
      <c r="Z17" s="103" t="str">
        <f>I33</f>
        <v>Na2O</v>
      </c>
      <c r="AA17" s="108" t="str">
        <f>I34</f>
        <v>K2O</v>
      </c>
      <c r="AB17" s="76"/>
    </row>
    <row r="18" spans="1:28" ht="21" x14ac:dyDescent="0.25">
      <c r="A18" s="71"/>
      <c r="B18" s="71"/>
      <c r="C18" s="71"/>
      <c r="D18" s="129">
        <v>16.399999999999999</v>
      </c>
      <c r="E18" s="161" t="str">
        <f>IF($C$17="CZ","CONTENIDO DE CENIZAS","")</f>
        <v>CONTENIDO DE CENIZAS</v>
      </c>
      <c r="F18" s="161"/>
      <c r="H18" t="str">
        <f>IF($C$17="CZ","q","")</f>
        <v>q</v>
      </c>
      <c r="I18" s="71">
        <f>IF($C$17="CZ",D17*D18*D19/10000,"")</f>
        <v>3.7309999999999999</v>
      </c>
      <c r="J18" s="71"/>
      <c r="K18" s="71" t="s">
        <v>38</v>
      </c>
      <c r="L18" s="13">
        <f>IF(D23+E23&lt;&gt;0,1,0)+IF(D24+E24&lt;&gt;0,1,0)+IF(D25+E25&lt;&gt;0,1,0)+IF(D26+E26&lt;&gt;0,1,0)+IF(D27+E27&lt;&gt;0,1,0)+IF(D28+E28&lt;&gt;0,1,0)+IF(D29+E29&lt;&gt;0,1,0)+IF(D30+E30&lt;&gt;0,1,0)+IF(D31+E31&lt;&gt;0,1,0)+IF(D32+E32&lt;&gt;0,1,0)+IF(D33+E33&lt;&gt;0,1,0)+IF(D34+E34&lt;&gt;0,1,0)</f>
        <v>7</v>
      </c>
      <c r="M18" s="71"/>
      <c r="N18" s="63"/>
      <c r="O18" s="104" t="s">
        <v>16</v>
      </c>
      <c r="P18" s="109">
        <f>J70</f>
        <v>22.111335566041411</v>
      </c>
      <c r="Q18" s="109">
        <f>J71</f>
        <v>6.0289917178480668</v>
      </c>
      <c r="R18" s="109">
        <f>J72</f>
        <v>2.5087412100814719</v>
      </c>
      <c r="S18" s="109">
        <f>J73</f>
        <v>66.546461384402193</v>
      </c>
      <c r="T18" s="109">
        <f>J74</f>
        <v>1.9500133611163126</v>
      </c>
      <c r="U18" s="109">
        <f>J75</f>
        <v>0.60247435650104775</v>
      </c>
      <c r="V18" s="109">
        <f>J76</f>
        <v>0</v>
      </c>
      <c r="W18" s="109">
        <f>J77</f>
        <v>0.2519824040095181</v>
      </c>
      <c r="X18" s="109">
        <f>J78</f>
        <v>0</v>
      </c>
      <c r="Y18" s="109">
        <f>J79</f>
        <v>0</v>
      </c>
      <c r="Z18" s="109">
        <f>J80</f>
        <v>0</v>
      </c>
      <c r="AA18" s="109">
        <f>J81</f>
        <v>0</v>
      </c>
      <c r="AB18" s="76"/>
    </row>
    <row r="19" spans="1:28" ht="18" customHeight="1" thickBot="1" x14ac:dyDescent="0.3">
      <c r="A19" s="71"/>
      <c r="B19" s="71"/>
      <c r="D19" s="129">
        <v>65</v>
      </c>
      <c r="E19" s="161" t="str">
        <f>IF($C$17="CZ","CENIZAS ABSORVIDAS","")</f>
        <v>CENIZAS ABSORVIDAS</v>
      </c>
      <c r="F19" s="161"/>
      <c r="I19" s="71"/>
      <c r="J19" s="71"/>
      <c r="M19" s="71"/>
      <c r="N19" s="63"/>
      <c r="O19" s="106" t="s">
        <v>15</v>
      </c>
      <c r="P19" s="110">
        <f>K70</f>
        <v>22.111335566041411</v>
      </c>
      <c r="Q19" s="110">
        <f>K71</f>
        <v>6.0289917178480668</v>
      </c>
      <c r="R19" s="110">
        <f>K72</f>
        <v>2.5087412100814719</v>
      </c>
      <c r="S19" s="110">
        <f>K73</f>
        <v>66.546461384402193</v>
      </c>
      <c r="T19" s="110">
        <f>K74</f>
        <v>1.9500133611163126</v>
      </c>
      <c r="U19" s="110">
        <f>K75</f>
        <v>0.60247435650104775</v>
      </c>
      <c r="V19" s="110">
        <f>K76</f>
        <v>0</v>
      </c>
      <c r="W19" s="110">
        <f>K77</f>
        <v>0.2519824040095181</v>
      </c>
      <c r="X19" s="110">
        <f>K78</f>
        <v>0</v>
      </c>
      <c r="Y19" s="110">
        <f>K79</f>
        <v>0</v>
      </c>
      <c r="Z19" s="110">
        <f>K80</f>
        <v>0</v>
      </c>
      <c r="AA19" s="110">
        <f>K81</f>
        <v>0</v>
      </c>
      <c r="AB19" s="76"/>
    </row>
    <row r="20" spans="1:28" ht="21" x14ac:dyDescent="0.25">
      <c r="C20" s="71"/>
      <c r="D20" s="16"/>
      <c r="E20" s="71"/>
      <c r="F20" s="71"/>
      <c r="G20" s="71"/>
      <c r="H20" s="71"/>
      <c r="I20" s="71"/>
      <c r="J20" s="71"/>
      <c r="K20" s="71"/>
      <c r="L20" s="71"/>
      <c r="M20" s="71"/>
      <c r="N20" s="63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76"/>
    </row>
    <row r="21" spans="1:28" ht="21" x14ac:dyDescent="0.25">
      <c r="C21" s="71"/>
      <c r="D21" s="71" t="s">
        <v>37</v>
      </c>
      <c r="E21" s="71" t="s">
        <v>36</v>
      </c>
      <c r="F21" s="71" t="s">
        <v>55</v>
      </c>
      <c r="G21" s="71"/>
      <c r="H21" s="71"/>
      <c r="I21" s="71"/>
      <c r="J21" s="71" t="str">
        <f t="shared" ref="J21:L22" si="0">D21</f>
        <v>M.P. 1</v>
      </c>
      <c r="K21" s="71" t="str">
        <f t="shared" si="0"/>
        <v>M.P.2</v>
      </c>
      <c r="L21" s="71" t="str">
        <f t="shared" si="0"/>
        <v>M.P. 3</v>
      </c>
      <c r="M21" s="71"/>
      <c r="N21" s="63"/>
      <c r="O21" s="168" t="s">
        <v>13</v>
      </c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76"/>
    </row>
    <row r="22" spans="1:28" ht="21.75" thickBot="1" x14ac:dyDescent="0.3">
      <c r="C22" s="71"/>
      <c r="D22" s="71" t="s">
        <v>35</v>
      </c>
      <c r="E22" s="71" t="s">
        <v>81</v>
      </c>
      <c r="F22" s="71" t="s">
        <v>82</v>
      </c>
      <c r="G22" s="71"/>
      <c r="H22" s="71"/>
      <c r="I22" s="71"/>
      <c r="J22" s="71" t="str">
        <f t="shared" si="0"/>
        <v>CALIZA</v>
      </c>
      <c r="K22" s="71" t="str">
        <f t="shared" si="0"/>
        <v>ESCORIAS DE HORNO ALTO</v>
      </c>
      <c r="L22" s="71" t="str">
        <f t="shared" si="0"/>
        <v>CENIZAS DE PIRITA</v>
      </c>
      <c r="M22" s="71"/>
      <c r="N22" s="63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76"/>
    </row>
    <row r="23" spans="1:28" ht="21" x14ac:dyDescent="0.25">
      <c r="C23" s="71" t="s">
        <v>33</v>
      </c>
      <c r="D23" s="14">
        <v>3.89</v>
      </c>
      <c r="E23" s="14">
        <v>70.03</v>
      </c>
      <c r="F23" s="14">
        <v>51.32</v>
      </c>
      <c r="G23" s="71"/>
      <c r="H23" s="71"/>
      <c r="I23" s="71" t="str">
        <f t="shared" ref="I23:I34" si="1">C23</f>
        <v>SiO2</v>
      </c>
      <c r="J23" s="9">
        <f t="shared" ref="J23:J34" si="2">IF(D23=0,0,IF($D$36&lt;100,(IF(I23="Resto",D23+100-$D$36,D23)),IF($D$36&gt;100,D23-((D23*($D$36-100))/($D$36)),D23)))</f>
        <v>3.89</v>
      </c>
      <c r="K23" s="9">
        <f t="shared" ref="K23:K34" si="3">IF(E23=0,0,IF($E$36&lt;100,(IF(I23="Resto",E23+100-$E$36,E23)),IF($E$36&gt;100,E23-((E23*($E$36-100))/($E$36)),E23)))</f>
        <v>70.03</v>
      </c>
      <c r="L23" s="9">
        <f t="shared" ref="L23:L34" si="4">IF(F23=0,0,IF($F$36&lt;100,(IF(J23="Resto",F23+100-$F$36,F23)),IF($F$36&gt;100,F23-((F23*($F$36-100))/($F$36)),F23)))</f>
        <v>51.32</v>
      </c>
      <c r="M23" s="71"/>
      <c r="N23" s="63"/>
      <c r="O23" s="101"/>
      <c r="P23" s="101"/>
      <c r="Q23" s="101"/>
      <c r="R23" s="101"/>
      <c r="S23" s="162" t="s">
        <v>73</v>
      </c>
      <c r="T23" s="164"/>
      <c r="U23" s="103" t="str">
        <f>C87</f>
        <v>MH</v>
      </c>
      <c r="V23" s="111">
        <f>K87</f>
        <v>2.1712392791804653</v>
      </c>
      <c r="W23" s="101"/>
      <c r="X23" s="101"/>
      <c r="Y23" s="101"/>
      <c r="Z23" s="101"/>
      <c r="AA23" s="101"/>
      <c r="AB23" s="76"/>
    </row>
    <row r="24" spans="1:28" ht="21" x14ac:dyDescent="0.25">
      <c r="C24" s="71" t="s">
        <v>32</v>
      </c>
      <c r="D24" s="14">
        <v>1.93</v>
      </c>
      <c r="E24" s="14">
        <v>17.170000000000002</v>
      </c>
      <c r="F24" s="14">
        <v>10.19</v>
      </c>
      <c r="G24" s="71"/>
      <c r="H24" s="71"/>
      <c r="I24" s="71" t="str">
        <f t="shared" si="1"/>
        <v>Al2O3</v>
      </c>
      <c r="J24" s="9">
        <f t="shared" si="2"/>
        <v>1.93</v>
      </c>
      <c r="K24" s="9">
        <f t="shared" si="3"/>
        <v>17.170000000000002</v>
      </c>
      <c r="L24" s="9">
        <f t="shared" si="4"/>
        <v>10.19</v>
      </c>
      <c r="M24" s="71"/>
      <c r="N24" s="63"/>
      <c r="O24" s="101"/>
      <c r="P24" s="101"/>
      <c r="Q24" s="101"/>
      <c r="R24" s="101"/>
      <c r="S24" s="165" t="s">
        <v>72</v>
      </c>
      <c r="T24" s="167"/>
      <c r="U24" s="105" t="str">
        <f>C88</f>
        <v>SM</v>
      </c>
      <c r="V24" s="112">
        <f>K88</f>
        <v>2.5898368750454188</v>
      </c>
      <c r="W24" s="101"/>
      <c r="X24" s="101"/>
      <c r="Y24" s="101"/>
      <c r="Z24" s="101"/>
      <c r="AA24" s="101"/>
      <c r="AB24" s="76"/>
    </row>
    <row r="25" spans="1:28" ht="21.75" thickBot="1" x14ac:dyDescent="0.3">
      <c r="C25" s="71" t="s">
        <v>31</v>
      </c>
      <c r="D25" s="14">
        <v>0.93</v>
      </c>
      <c r="E25" s="14">
        <v>5</v>
      </c>
      <c r="F25" s="14">
        <v>16.11</v>
      </c>
      <c r="G25" s="71"/>
      <c r="H25" s="71"/>
      <c r="I25" s="71" t="str">
        <f t="shared" si="1"/>
        <v>Fe2O3</v>
      </c>
      <c r="J25" s="9">
        <f t="shared" si="2"/>
        <v>0.93</v>
      </c>
      <c r="K25" s="9">
        <f t="shared" si="3"/>
        <v>5</v>
      </c>
      <c r="L25" s="9">
        <f t="shared" si="4"/>
        <v>16.11</v>
      </c>
      <c r="M25" s="71"/>
      <c r="N25" s="63"/>
      <c r="O25" s="101"/>
      <c r="P25" s="101"/>
      <c r="Q25" s="101"/>
      <c r="R25" s="101"/>
      <c r="S25" s="169" t="s">
        <v>74</v>
      </c>
      <c r="T25" s="171"/>
      <c r="U25" s="107" t="str">
        <f>C89</f>
        <v>TM</v>
      </c>
      <c r="V25" s="113">
        <f>K89</f>
        <v>2.4031939578384307</v>
      </c>
      <c r="W25" s="101"/>
      <c r="X25" s="101"/>
      <c r="Y25" s="101"/>
      <c r="Z25" s="101"/>
      <c r="AA25" s="101"/>
      <c r="AB25" s="76"/>
    </row>
    <row r="26" spans="1:28" ht="21" x14ac:dyDescent="0.25">
      <c r="A26" s="71"/>
      <c r="B26" s="71"/>
      <c r="C26" s="71" t="s">
        <v>30</v>
      </c>
      <c r="D26" s="14">
        <v>91.19</v>
      </c>
      <c r="E26" s="14">
        <v>4.25</v>
      </c>
      <c r="F26" s="14">
        <v>10.3</v>
      </c>
      <c r="G26" s="71"/>
      <c r="H26" s="71"/>
      <c r="I26" s="71" t="str">
        <f t="shared" si="1"/>
        <v>CaO</v>
      </c>
      <c r="J26" s="9">
        <f t="shared" si="2"/>
        <v>91.19</v>
      </c>
      <c r="K26" s="9">
        <f t="shared" si="3"/>
        <v>4.25</v>
      </c>
      <c r="L26" s="9">
        <f t="shared" si="4"/>
        <v>10.3</v>
      </c>
      <c r="M26" s="71"/>
      <c r="N26" s="63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76"/>
    </row>
    <row r="27" spans="1:28" ht="21" x14ac:dyDescent="0.25">
      <c r="A27" s="71"/>
      <c r="B27" s="71"/>
      <c r="C27" s="71" t="s">
        <v>29</v>
      </c>
      <c r="D27" s="14">
        <v>1.41</v>
      </c>
      <c r="E27" s="14">
        <v>3.17</v>
      </c>
      <c r="F27" s="14">
        <v>4.1500000000000004</v>
      </c>
      <c r="G27" s="71"/>
      <c r="H27" s="71"/>
      <c r="I27" s="71" t="str">
        <f t="shared" si="1"/>
        <v>MgO</v>
      </c>
      <c r="J27" s="9">
        <f t="shared" si="2"/>
        <v>1.41</v>
      </c>
      <c r="K27" s="9">
        <f t="shared" si="3"/>
        <v>3.17</v>
      </c>
      <c r="L27" s="9">
        <f t="shared" si="4"/>
        <v>4.1500000000000004</v>
      </c>
      <c r="M27" s="71"/>
      <c r="N27" s="63"/>
      <c r="O27" s="168" t="s">
        <v>75</v>
      </c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76"/>
    </row>
    <row r="28" spans="1:28" ht="21.75" thickBot="1" x14ac:dyDescent="0.3">
      <c r="A28" s="71"/>
      <c r="B28" s="71"/>
      <c r="C28" s="71" t="s">
        <v>28</v>
      </c>
      <c r="D28" s="14">
        <v>0.5</v>
      </c>
      <c r="E28" s="14">
        <v>0</v>
      </c>
      <c r="F28" s="14">
        <v>6.58</v>
      </c>
      <c r="G28" s="71"/>
      <c r="H28" s="71"/>
      <c r="I28" s="71" t="str">
        <f t="shared" si="1"/>
        <v>SO3</v>
      </c>
      <c r="J28" s="9">
        <f t="shared" si="2"/>
        <v>0.5</v>
      </c>
      <c r="K28" s="9">
        <f t="shared" si="3"/>
        <v>0</v>
      </c>
      <c r="L28" s="9">
        <f t="shared" si="4"/>
        <v>6.58</v>
      </c>
      <c r="N28" s="63"/>
      <c r="O28" s="101"/>
      <c r="P28" s="101"/>
      <c r="Q28" s="101"/>
      <c r="R28" s="101"/>
      <c r="S28" s="101"/>
      <c r="T28" s="101"/>
      <c r="U28" s="101"/>
      <c r="V28" s="101"/>
      <c r="W28" s="101"/>
      <c r="X28" s="114"/>
      <c r="Y28" s="101"/>
      <c r="Z28" s="101"/>
      <c r="AA28" s="101"/>
      <c r="AB28" s="76"/>
    </row>
    <row r="29" spans="1:28" ht="21" x14ac:dyDescent="0.25">
      <c r="A29" s="71"/>
      <c r="B29" s="71"/>
      <c r="C29" s="71" t="s">
        <v>27</v>
      </c>
      <c r="D29" s="14">
        <v>0</v>
      </c>
      <c r="E29" s="14">
        <v>0</v>
      </c>
      <c r="F29" s="14">
        <v>0</v>
      </c>
      <c r="G29" s="71"/>
      <c r="H29" s="71"/>
      <c r="I29" s="71" t="str">
        <f t="shared" si="1"/>
        <v>P.C.</v>
      </c>
      <c r="J29" s="9">
        <f t="shared" si="2"/>
        <v>0</v>
      </c>
      <c r="K29" s="9">
        <f t="shared" si="3"/>
        <v>0</v>
      </c>
      <c r="L29" s="9">
        <f t="shared" si="4"/>
        <v>0</v>
      </c>
      <c r="N29" s="63"/>
      <c r="O29" s="101"/>
      <c r="P29" s="101"/>
      <c r="Q29" s="101"/>
      <c r="R29" s="162" t="s">
        <v>76</v>
      </c>
      <c r="S29" s="163"/>
      <c r="T29" s="163"/>
      <c r="U29" s="164"/>
      <c r="V29" s="103" t="str">
        <f>C98</f>
        <v>KSK</v>
      </c>
      <c r="W29" s="111">
        <f>K98</f>
        <v>0.90000000000000024</v>
      </c>
      <c r="X29" s="101"/>
      <c r="Y29" s="101"/>
      <c r="Z29" s="101"/>
      <c r="AA29" s="101"/>
      <c r="AB29" s="76"/>
    </row>
    <row r="30" spans="1:28" ht="21" x14ac:dyDescent="0.25">
      <c r="A30" s="71"/>
      <c r="B30" s="71"/>
      <c r="C30" s="71" t="s">
        <v>26</v>
      </c>
      <c r="D30" s="14">
        <v>0.15</v>
      </c>
      <c r="E30" s="14">
        <v>0.38</v>
      </c>
      <c r="F30" s="14">
        <v>1.35</v>
      </c>
      <c r="G30" s="71"/>
      <c r="H30" s="71"/>
      <c r="I30" s="71" t="str">
        <f t="shared" si="1"/>
        <v>Resto</v>
      </c>
      <c r="J30" s="9">
        <f t="shared" si="2"/>
        <v>0.15</v>
      </c>
      <c r="K30" s="9">
        <f t="shared" si="3"/>
        <v>0.38</v>
      </c>
      <c r="L30" s="9">
        <f t="shared" si="4"/>
        <v>1.35</v>
      </c>
      <c r="N30" s="63"/>
      <c r="O30" s="101"/>
      <c r="P30" s="101"/>
      <c r="Q30" s="101"/>
      <c r="R30" s="165" t="s">
        <v>77</v>
      </c>
      <c r="S30" s="166"/>
      <c r="T30" s="166"/>
      <c r="U30" s="167"/>
      <c r="V30" s="105" t="str">
        <f>C99</f>
        <v>KSt II</v>
      </c>
      <c r="W30" s="112">
        <f>K99</f>
        <v>0.96252778920548898</v>
      </c>
      <c r="X30" s="168" t="str">
        <f>IF(95&lt;W31*100,"PORTLAND  DE ALTA CALIDAD",IF(90&lt;W31*100,"PORTLAND NORMAL", ANALIZAR))</f>
        <v>PORTLAND NORMAL</v>
      </c>
      <c r="Y30" s="168"/>
      <c r="Z30" s="168"/>
      <c r="AA30" s="168"/>
      <c r="AB30" s="76"/>
    </row>
    <row r="31" spans="1:28" ht="21.75" thickBot="1" x14ac:dyDescent="0.3">
      <c r="A31" s="71"/>
      <c r="B31" s="71"/>
      <c r="C31" s="71" t="s">
        <v>25</v>
      </c>
      <c r="D31" s="14">
        <v>0</v>
      </c>
      <c r="E31" s="14">
        <v>0</v>
      </c>
      <c r="F31" s="14">
        <v>0</v>
      </c>
      <c r="G31" s="71"/>
      <c r="H31" s="71"/>
      <c r="I31" s="71" t="str">
        <f t="shared" si="1"/>
        <v>TiO2</v>
      </c>
      <c r="J31" s="9">
        <f t="shared" si="2"/>
        <v>0</v>
      </c>
      <c r="K31" s="9">
        <f t="shared" si="3"/>
        <v>0</v>
      </c>
      <c r="L31" s="9">
        <f t="shared" si="4"/>
        <v>0</v>
      </c>
      <c r="N31" s="63"/>
      <c r="O31" s="101"/>
      <c r="P31" s="101"/>
      <c r="Q31" s="101"/>
      <c r="R31" s="169" t="s">
        <v>78</v>
      </c>
      <c r="S31" s="170"/>
      <c r="T31" s="170"/>
      <c r="U31" s="171"/>
      <c r="V31" s="107" t="str">
        <f>C100</f>
        <v>LSF</v>
      </c>
      <c r="W31" s="113">
        <f>K100</f>
        <v>0.9342658179964215</v>
      </c>
      <c r="X31" s="168"/>
      <c r="Y31" s="168"/>
      <c r="Z31" s="168"/>
      <c r="AA31" s="168"/>
      <c r="AB31" s="76"/>
    </row>
    <row r="32" spans="1:28" ht="21" x14ac:dyDescent="0.25">
      <c r="A32" s="71"/>
      <c r="B32" s="71"/>
      <c r="C32" s="71" t="s">
        <v>24</v>
      </c>
      <c r="D32" s="14">
        <v>0</v>
      </c>
      <c r="E32" s="14">
        <v>0</v>
      </c>
      <c r="F32" s="14">
        <v>0</v>
      </c>
      <c r="G32" s="71"/>
      <c r="H32" s="71"/>
      <c r="I32" s="71" t="str">
        <f t="shared" si="1"/>
        <v>Mn2O3</v>
      </c>
      <c r="J32" s="9">
        <f t="shared" si="2"/>
        <v>0</v>
      </c>
      <c r="K32" s="9">
        <f t="shared" si="3"/>
        <v>0</v>
      </c>
      <c r="L32" s="9">
        <f t="shared" si="4"/>
        <v>0</v>
      </c>
      <c r="N32" s="63"/>
      <c r="O32" s="101"/>
      <c r="P32" s="101"/>
      <c r="Q32" s="101"/>
      <c r="R32" s="101"/>
      <c r="S32" s="101"/>
      <c r="T32" s="101"/>
      <c r="U32" s="101"/>
      <c r="V32" s="101"/>
      <c r="W32" s="101"/>
      <c r="X32" s="168"/>
      <c r="Y32" s="168"/>
      <c r="Z32" s="168"/>
      <c r="AA32" s="168"/>
      <c r="AB32" s="76"/>
    </row>
    <row r="33" spans="1:28" ht="21" x14ac:dyDescent="0.25">
      <c r="A33" s="71"/>
      <c r="B33" s="71"/>
      <c r="C33" s="71" t="s">
        <v>23</v>
      </c>
      <c r="D33" s="14">
        <v>0</v>
      </c>
      <c r="E33" s="14">
        <v>0</v>
      </c>
      <c r="F33" s="14">
        <v>0</v>
      </c>
      <c r="G33" s="71"/>
      <c r="H33" s="71"/>
      <c r="I33" s="71" t="str">
        <f t="shared" si="1"/>
        <v>Na2O</v>
      </c>
      <c r="J33" s="9">
        <f t="shared" si="2"/>
        <v>0</v>
      </c>
      <c r="K33" s="9">
        <f t="shared" si="3"/>
        <v>0</v>
      </c>
      <c r="L33" s="9">
        <f t="shared" si="4"/>
        <v>0</v>
      </c>
      <c r="N33" s="63"/>
      <c r="O33" s="168" t="s">
        <v>89</v>
      </c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76"/>
    </row>
    <row r="34" spans="1:28" ht="21.75" thickBot="1" x14ac:dyDescent="0.3">
      <c r="A34" s="71"/>
      <c r="B34" s="71"/>
      <c r="C34" s="71" t="s">
        <v>22</v>
      </c>
      <c r="D34" s="14">
        <v>0</v>
      </c>
      <c r="E34" s="14">
        <v>0</v>
      </c>
      <c r="F34" s="14">
        <v>0</v>
      </c>
      <c r="G34" s="71"/>
      <c r="H34" s="71"/>
      <c r="I34" s="71" t="str">
        <f t="shared" si="1"/>
        <v>K2O</v>
      </c>
      <c r="J34" s="9">
        <f t="shared" si="2"/>
        <v>0</v>
      </c>
      <c r="K34" s="9">
        <f t="shared" si="3"/>
        <v>0</v>
      </c>
      <c r="L34" s="9">
        <f t="shared" si="4"/>
        <v>0</v>
      </c>
      <c r="N34" s="63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76"/>
    </row>
    <row r="35" spans="1:28" ht="21.75" thickBot="1" x14ac:dyDescent="0.3">
      <c r="A35" s="71"/>
      <c r="B35" s="71"/>
      <c r="C35" s="71"/>
      <c r="D35" s="71"/>
      <c r="E35" s="71"/>
      <c r="F35" s="71"/>
      <c r="G35" s="71"/>
      <c r="H35" s="71"/>
      <c r="J35" s="71"/>
      <c r="K35" s="71"/>
      <c r="L35" s="71"/>
      <c r="N35" s="63"/>
      <c r="O35" s="101"/>
      <c r="P35" s="101"/>
      <c r="Q35" s="101"/>
      <c r="R35" s="101"/>
      <c r="S35" s="101"/>
      <c r="U35" s="146" t="s">
        <v>14</v>
      </c>
      <c r="V35" s="101"/>
      <c r="W35" s="101"/>
      <c r="X35" s="101"/>
      <c r="Y35" s="101"/>
      <c r="Z35" s="101"/>
      <c r="AA35" s="101"/>
      <c r="AB35" s="76"/>
    </row>
    <row r="36" spans="1:28" ht="21.75" thickBot="1" x14ac:dyDescent="0.3">
      <c r="A36" s="71"/>
      <c r="B36" s="71"/>
      <c r="C36" s="71" t="s">
        <v>21</v>
      </c>
      <c r="D36" s="13">
        <f>SUM(D23:D34)</f>
        <v>100</v>
      </c>
      <c r="E36" s="13">
        <f>SUM(E23:E34)</f>
        <v>100</v>
      </c>
      <c r="F36" s="13">
        <f>SUM(F23:F34)</f>
        <v>100</v>
      </c>
      <c r="G36" s="71"/>
      <c r="H36" s="71"/>
      <c r="I36" s="71" t="s">
        <v>21</v>
      </c>
      <c r="J36" s="13">
        <f>SUM(J23:J34)</f>
        <v>100</v>
      </c>
      <c r="K36" s="13">
        <f>SUM(K23:K34)</f>
        <v>100</v>
      </c>
      <c r="L36" s="13">
        <f>SUM(L23:L34)</f>
        <v>100</v>
      </c>
      <c r="N36" s="63"/>
      <c r="O36" s="101"/>
      <c r="P36" s="101"/>
      <c r="Q36" s="101"/>
      <c r="R36" s="101"/>
      <c r="S36" s="101"/>
      <c r="T36" s="119" t="s">
        <v>88</v>
      </c>
      <c r="U36" s="121">
        <f>M76*100</f>
        <v>0</v>
      </c>
      <c r="V36" s="101"/>
      <c r="W36" s="101"/>
      <c r="X36" s="101"/>
      <c r="Y36" s="101"/>
      <c r="Z36" s="101"/>
      <c r="AA36" s="101"/>
      <c r="AB36" s="76"/>
    </row>
    <row r="37" spans="1:28" ht="21" x14ac:dyDescent="0.25">
      <c r="A37" s="71"/>
      <c r="B37" s="71"/>
      <c r="N37" s="63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76"/>
    </row>
    <row r="38" spans="1:28" ht="21.75" thickBot="1" x14ac:dyDescent="0.3">
      <c r="A38" s="71"/>
      <c r="B38" s="71"/>
      <c r="N38" s="67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53"/>
    </row>
    <row r="39" spans="1:28" x14ac:dyDescent="0.25">
      <c r="A39" s="71"/>
      <c r="B39" s="71"/>
      <c r="N39" s="71"/>
      <c r="O39" s="71"/>
    </row>
    <row r="40" spans="1:28" x14ac:dyDescent="0.25">
      <c r="A40" s="12"/>
      <c r="B40" s="71"/>
      <c r="N40" s="71"/>
      <c r="O40" s="71"/>
    </row>
    <row r="41" spans="1:28" ht="15" hidden="1" customHeight="1" x14ac:dyDescent="0.25">
      <c r="A41" s="12"/>
      <c r="B41" s="71"/>
      <c r="C41" s="71" t="s">
        <v>96</v>
      </c>
      <c r="D41" s="71">
        <f>(2.8*$D$16*J23+1.65*J24+0.35*J25-J26)*$I$18</f>
        <v>-290.55983320000001</v>
      </c>
      <c r="E41" s="71">
        <f>(2.8*$D$16*K23+1.65*K24+0.35*K25-K26)*$I$18</f>
        <v>754.80405910000002</v>
      </c>
      <c r="F41" s="71">
        <f>(2.8*$D$16*L23+1.65*L24+0.35*L25-L26)*$I$18</f>
        <v>527.85591039999997</v>
      </c>
      <c r="G41" s="71"/>
      <c r="H41" s="71"/>
      <c r="I41" s="71" t="s">
        <v>96</v>
      </c>
      <c r="J41">
        <f>(2.8*$D$17*J23+1.65*J24+0.35*J25-J26)</f>
        <v>293.54000000000002</v>
      </c>
      <c r="K41">
        <f>(2.8*$D$17*K23+1.65*K24+0.35*K25-K26)</f>
        <v>6888.7705000000005</v>
      </c>
      <c r="L41">
        <f>(2.8*$D$17*L23+1.65*L24+0.35*L25-L26)</f>
        <v>5041.5119999999997</v>
      </c>
      <c r="N41" s="71"/>
      <c r="O41" s="71"/>
    </row>
    <row r="42" spans="1:28" hidden="1" x14ac:dyDescent="0.25">
      <c r="A42" s="12"/>
      <c r="C42" s="71" t="s">
        <v>12</v>
      </c>
      <c r="D42" s="72">
        <f>($D$16*(J23+J24+J25)-J26)</f>
        <v>-85.114999999999995</v>
      </c>
      <c r="E42" s="72">
        <f>($D$16*(K23+K24+K25)-K26)</f>
        <v>78.73</v>
      </c>
      <c r="F42" s="72">
        <f>($D$16*(L23+L24+L25)-L26)</f>
        <v>59.558000000000007</v>
      </c>
      <c r="G42" s="71"/>
      <c r="I42" s="71" t="s">
        <v>12</v>
      </c>
      <c r="J42" s="72">
        <f>($D$17*(J23+J24+J25)-J26)</f>
        <v>145.06</v>
      </c>
      <c r="K42" s="72">
        <f>($D$17*(K23+K24+K25)-K26)</f>
        <v>3222.75</v>
      </c>
      <c r="L42" s="72">
        <f>($D$17*(L23+L24+L25)-L26)</f>
        <v>2706.4</v>
      </c>
      <c r="M42" s="71"/>
      <c r="O42" s="71"/>
    </row>
    <row r="43" spans="1:28" hidden="1" x14ac:dyDescent="0.25">
      <c r="A43" s="12"/>
      <c r="C43" s="71" t="s">
        <v>11</v>
      </c>
      <c r="D43" s="72">
        <f>($D$16*(J24+J25)-J23)</f>
        <v>-1.3160000000000003</v>
      </c>
      <c r="E43" s="72">
        <f>($D$16*(K24+K25)-K23)</f>
        <v>-50.076999999999998</v>
      </c>
      <c r="F43" s="72">
        <f>($D$16*(L24+L25)-L23)</f>
        <v>-27.650000000000002</v>
      </c>
      <c r="G43" s="71"/>
      <c r="I43" s="71" t="s">
        <v>11</v>
      </c>
      <c r="J43" s="72">
        <f>($D$17*(J24+J25)-J23)</f>
        <v>96.21</v>
      </c>
      <c r="K43" s="72">
        <f>($D$17*(K24+K25)-K23)</f>
        <v>705.92000000000007</v>
      </c>
      <c r="L43" s="72">
        <f>($D$17*(L24+L25)-L23)</f>
        <v>869.17999999999984</v>
      </c>
      <c r="M43" s="71"/>
      <c r="O43" s="71"/>
    </row>
    <row r="44" spans="1:28" hidden="1" x14ac:dyDescent="0.25">
      <c r="A44" s="12"/>
      <c r="C44" s="71" t="s">
        <v>9</v>
      </c>
      <c r="D44" s="72">
        <f t="shared" ref="D44:F45" si="5">$D$16*J24-J23</f>
        <v>-2.1530000000000005</v>
      </c>
      <c r="E44" s="72">
        <f t="shared" si="5"/>
        <v>-54.576999999999998</v>
      </c>
      <c r="F44" s="72">
        <f t="shared" si="5"/>
        <v>-42.149000000000001</v>
      </c>
      <c r="G44" s="71"/>
      <c r="I44" s="71" t="s">
        <v>9</v>
      </c>
      <c r="J44" s="72">
        <f t="shared" ref="J44:L45" si="6">$D$17*J24-J23</f>
        <v>63.66</v>
      </c>
      <c r="K44" s="72">
        <f t="shared" si="6"/>
        <v>530.92000000000007</v>
      </c>
      <c r="L44" s="72">
        <f t="shared" si="6"/>
        <v>305.33</v>
      </c>
      <c r="M44" s="71"/>
      <c r="O44" s="71"/>
    </row>
    <row r="45" spans="1:28" hidden="1" x14ac:dyDescent="0.25">
      <c r="A45" s="12"/>
      <c r="C45" s="71" t="s">
        <v>10</v>
      </c>
      <c r="D45" s="72">
        <f t="shared" si="5"/>
        <v>-1.093</v>
      </c>
      <c r="E45" s="72">
        <f t="shared" si="5"/>
        <v>-12.670000000000002</v>
      </c>
      <c r="F45" s="72">
        <f t="shared" si="5"/>
        <v>4.3090000000000011</v>
      </c>
      <c r="G45" s="72"/>
      <c r="I45" s="71" t="s">
        <v>10</v>
      </c>
      <c r="J45" s="72">
        <f t="shared" si="6"/>
        <v>30.620000000000005</v>
      </c>
      <c r="K45" s="72">
        <f t="shared" si="6"/>
        <v>157.82999999999998</v>
      </c>
      <c r="L45" s="72">
        <f t="shared" si="6"/>
        <v>553.66</v>
      </c>
      <c r="M45" s="71"/>
      <c r="O45" s="71"/>
    </row>
    <row r="46" spans="1:28" hidden="1" x14ac:dyDescent="0.25">
      <c r="A46" s="12"/>
      <c r="C46" s="71" t="s">
        <v>7</v>
      </c>
      <c r="D46" s="72">
        <f>2.8*$D$16*J23+1.65*J24+0.35*J25-J26</f>
        <v>-77.877200000000002</v>
      </c>
      <c r="E46" s="72">
        <f>2.8*$D$16*K23+1.65*K24+0.35*K25-K26</f>
        <v>202.30610000000001</v>
      </c>
      <c r="F46" s="72">
        <f>2.8*$D$16*L23+1.65*L24+0.35*L25-L26</f>
        <v>141.47839999999999</v>
      </c>
      <c r="G46" s="72"/>
      <c r="I46" s="71" t="s">
        <v>7</v>
      </c>
      <c r="J46" s="72">
        <f>2.8*$D$17*J23+1.65*J24+0.35*J25-J26</f>
        <v>293.54000000000002</v>
      </c>
      <c r="K46" s="72">
        <f>2.8*$D$17*K23+1.65*K24+0.35*K25-K26</f>
        <v>6888.7705000000005</v>
      </c>
      <c r="L46" s="72">
        <f>2.8*$D$17*L23+1.65*L24+0.35*L25-L26</f>
        <v>5041.5119999999997</v>
      </c>
      <c r="M46" s="71"/>
      <c r="O46" s="71"/>
    </row>
    <row r="47" spans="1:28" hidden="1" x14ac:dyDescent="0.25">
      <c r="A47" s="12"/>
      <c r="C47" s="71" t="s">
        <v>6</v>
      </c>
      <c r="D47" s="72">
        <f>$D$16*(2.8*J23+1.65*J24+0.35*J25)-J26</f>
        <v>-78.228200000000001</v>
      </c>
      <c r="E47" s="72">
        <f>$D$16*(2.8*K23+1.65*K24+0.35*K25)-K26</f>
        <v>199.29805000000002</v>
      </c>
      <c r="F47" s="72">
        <f>$D$16*(2.8*L23+1.65*L24+0.35*L25)-L26</f>
        <v>139.23319999999998</v>
      </c>
      <c r="G47" s="72"/>
      <c r="I47" s="71" t="s">
        <v>6</v>
      </c>
      <c r="J47" s="72">
        <f>$D$17*(2.8*J23+1.65*J24+0.35*J25)-J26</f>
        <v>412.88</v>
      </c>
      <c r="K47" s="72">
        <f>$D$17*(2.8*K23+1.65*K24+0.35*K25)-K26</f>
        <v>7911.5074999999997</v>
      </c>
      <c r="L47" s="72">
        <f>$D$17*(2.8*L23+1.65*L24+0.35*L25)-L26</f>
        <v>5804.88</v>
      </c>
      <c r="M47" s="71"/>
      <c r="O47" s="71"/>
    </row>
    <row r="48" spans="1:28" hidden="1" x14ac:dyDescent="0.25">
      <c r="A48" s="12"/>
      <c r="C48" s="71" t="s">
        <v>5</v>
      </c>
      <c r="D48" s="72">
        <f>$D$16*(2.8*J23+1.1*J24+0.7*J25)-J26</f>
        <v>-78.890599999999992</v>
      </c>
      <c r="E48" s="72">
        <f>$D$16*(2.8*K23+1.1*K24+0.7*K25)-K26</f>
        <v>192.37390000000002</v>
      </c>
      <c r="F48" s="72">
        <f>$D$16*(2.8*L23+1.1*L24+0.7*L25)-L26</f>
        <v>139.26379999999997</v>
      </c>
      <c r="G48" s="72"/>
      <c r="I48" s="71" t="s">
        <v>5</v>
      </c>
      <c r="J48" s="72">
        <f>$D$17*(2.8*J23+1.1*J24+0.7*J25)-J26</f>
        <v>387.12</v>
      </c>
      <c r="K48" s="72">
        <f>$D$17*(2.8*K23+1.1*K24+0.7*K25)-K26</f>
        <v>7642.2350000000006</v>
      </c>
      <c r="L48" s="72">
        <f>$D$17*(2.8*L23+1.1*L24+0.7*L25)-L26</f>
        <v>5806.07</v>
      </c>
      <c r="M48" s="71"/>
      <c r="O48" s="71"/>
    </row>
    <row r="49" spans="1:15" hidden="1" x14ac:dyDescent="0.25">
      <c r="A49" s="12"/>
      <c r="C49" s="71" t="s">
        <v>4</v>
      </c>
      <c r="D49" s="72">
        <f>$D$16*(2.8*J23+1.18*J24+0.65*J25)-J26</f>
        <v>-78.793489999999991</v>
      </c>
      <c r="E49" s="72">
        <f>$D$16*(2.8*K23+1.18*K24+0.65*K25)-K26</f>
        <v>193.38514000000001</v>
      </c>
      <c r="F49" s="72">
        <f>$D$16*(2.8*L23+1.18*L24+0.65*L25)-L26</f>
        <v>139.27252999999999</v>
      </c>
      <c r="G49" s="72"/>
      <c r="I49" s="71" t="s">
        <v>4</v>
      </c>
      <c r="J49" s="72">
        <f>$D$17*(2.8*J23+1.18*J24+0.65*J25)-J26</f>
        <v>390.8965</v>
      </c>
      <c r="K49" s="72">
        <f>$D$17*(2.8*K23+1.18*K24+0.65*K25)-K26</f>
        <v>7681.5610000000006</v>
      </c>
      <c r="L49" s="72">
        <f>$D$17*(2.8*L23+1.18*L24+0.65*L25)-L26</f>
        <v>5806.4094999999998</v>
      </c>
      <c r="M49" s="71"/>
      <c r="O49" s="71"/>
    </row>
    <row r="50" spans="1:15" hidden="1" x14ac:dyDescent="0.25">
      <c r="A50" s="12"/>
      <c r="C50" s="71" t="s">
        <v>3</v>
      </c>
      <c r="D50" s="72">
        <f>$D$16*(2.8*J23+1.1*J24+0.7*J25)-J26-0.75*J27</f>
        <v>-79.948099999999997</v>
      </c>
      <c r="E50" s="72">
        <f>$D$16*(2.8*K23+1.1*K24+0.7*K25)-K26-0.75*K27</f>
        <v>189.99640000000002</v>
      </c>
      <c r="F50" s="72">
        <f>$D$16*(2.8*L23+1.1*L24+0.7*L25)-L26-0.75*L27</f>
        <v>136.15129999999996</v>
      </c>
      <c r="G50" s="72"/>
      <c r="I50" s="71" t="s">
        <v>3</v>
      </c>
      <c r="J50" s="72">
        <f>$D$17*(2.8*J23+1.1*J24+0.7*J25)-J26-0.75*J27</f>
        <v>386.0625</v>
      </c>
      <c r="K50" s="72">
        <f>$D$17*(2.8*K23+1.1*K24+0.7*K25)-K26-0.75*K27</f>
        <v>7639.857500000001</v>
      </c>
      <c r="L50" s="72">
        <f>$D$17*(2.8*L23+1.1*L24+0.7*L25)-L26-0.75*L27</f>
        <v>5802.9574999999995</v>
      </c>
      <c r="M50" s="71"/>
      <c r="O50" s="71"/>
    </row>
    <row r="51" spans="1:15" hidden="1" x14ac:dyDescent="0.25">
      <c r="A51" s="12"/>
      <c r="C51" s="71" t="s">
        <v>2</v>
      </c>
      <c r="D51" s="72">
        <f>$D$16*(2.8*J23+1.2*J24+0.65*J25)-J26+0.7*J28</f>
        <v>-78.408749999999998</v>
      </c>
      <c r="E51" s="72">
        <f>$D$16*(2.8*K23+1.2*K24+0.65*K25)-K26+0.7*K28</f>
        <v>193.69420000000002</v>
      </c>
      <c r="F51" s="72">
        <f>$D$16*(2.8*L23+1.2*L24+0.65*L25)-L26+0.7*L28</f>
        <v>144.06195</v>
      </c>
      <c r="G51" s="72"/>
      <c r="I51" s="71" t="s">
        <v>2</v>
      </c>
      <c r="J51" s="72">
        <f>$D$17*(2.8*J23+1.2*J24+0.65*J25)-J26+0.7*J28</f>
        <v>392.59749999999997</v>
      </c>
      <c r="K51" s="72">
        <f>$D$17*(2.8*K23+1.2*K24+0.65*K25)-K26+0.7*K28</f>
        <v>7693.5800000000008</v>
      </c>
      <c r="L51" s="72">
        <f>$D$17*(2.8*L23+1.2*L24+0.65*L25)-L26+0.7*L28</f>
        <v>5818.1484999999993</v>
      </c>
      <c r="M51" s="71"/>
      <c r="O51" s="71"/>
    </row>
    <row r="52" spans="1:15" hidden="1" x14ac:dyDescent="0.25">
      <c r="A52" s="12"/>
      <c r="B52" s="71"/>
      <c r="C52" s="71"/>
      <c r="D52" s="72"/>
      <c r="E52" s="72"/>
      <c r="F52" s="72"/>
      <c r="G52" s="72"/>
      <c r="H52" s="71"/>
      <c r="I52" s="71"/>
      <c r="J52" s="72"/>
      <c r="K52" s="72"/>
      <c r="L52" s="72"/>
      <c r="M52" s="71"/>
      <c r="O52" s="71"/>
    </row>
    <row r="53" spans="1:15" hidden="1" x14ac:dyDescent="0.25">
      <c r="A53" s="12"/>
      <c r="B53" s="71"/>
      <c r="C53" s="71"/>
      <c r="D53" s="72" t="str">
        <f t="shared" ref="D53:F54" si="7">D21</f>
        <v>M.P. 1</v>
      </c>
      <c r="E53" s="72" t="str">
        <f t="shared" si="7"/>
        <v>M.P.2</v>
      </c>
      <c r="F53" s="72" t="str">
        <f t="shared" si="7"/>
        <v>M.P. 3</v>
      </c>
      <c r="G53" s="72"/>
      <c r="H53" s="71"/>
      <c r="I53" s="71"/>
      <c r="J53" s="72"/>
      <c r="K53" s="72"/>
      <c r="L53" s="72"/>
      <c r="M53" s="71"/>
      <c r="O53" s="71"/>
    </row>
    <row r="54" spans="1:15" hidden="1" x14ac:dyDescent="0.25">
      <c r="A54" s="12"/>
      <c r="B54" s="71"/>
      <c r="C54" s="71"/>
      <c r="D54" s="72" t="str">
        <f t="shared" si="7"/>
        <v>CALIZA</v>
      </c>
      <c r="E54" s="72" t="str">
        <f t="shared" si="7"/>
        <v>ESCORIAS DE HORNO ALTO</v>
      </c>
      <c r="F54" s="72" t="str">
        <f t="shared" si="7"/>
        <v>CENIZAS DE PIRITA</v>
      </c>
      <c r="G54" s="72"/>
      <c r="H54" s="71"/>
      <c r="I54" s="71"/>
      <c r="J54" s="72"/>
      <c r="K54" s="72"/>
      <c r="L54" s="72"/>
      <c r="M54" s="71"/>
      <c r="O54" s="71"/>
    </row>
    <row r="55" spans="1:15" hidden="1" x14ac:dyDescent="0.25">
      <c r="A55" s="12"/>
      <c r="B55" s="71"/>
      <c r="C55" s="71" t="str">
        <f>C16</f>
        <v>KSK</v>
      </c>
      <c r="D55" s="72">
        <f>VLOOKUP(C55,C41:F51,2,FALSE)</f>
        <v>-77.877200000000002</v>
      </c>
      <c r="E55" s="72">
        <f>VLOOKUP(C55,C41:F51,3,FALSE)</f>
        <v>202.30610000000001</v>
      </c>
      <c r="G55" s="72" t="s">
        <v>20</v>
      </c>
      <c r="H55">
        <f>IF(C56="CZ",VLOOKUP(C55,C41:F51,4,FALSE)*-I18,VLOOKUP(C56,C41:F51,4,FALSE))</f>
        <v>-527.85591039999997</v>
      </c>
      <c r="I55" s="71"/>
      <c r="J55" s="72"/>
      <c r="K55" s="72"/>
      <c r="L55" s="72"/>
      <c r="M55" s="71"/>
      <c r="O55" s="71"/>
    </row>
    <row r="56" spans="1:15" hidden="1" x14ac:dyDescent="0.25">
      <c r="A56" s="12"/>
      <c r="B56" s="71"/>
      <c r="C56" s="71" t="str">
        <f>C17</f>
        <v>CZ</v>
      </c>
      <c r="D56" s="72">
        <v>1</v>
      </c>
      <c r="E56" s="72">
        <v>1</v>
      </c>
      <c r="G56" s="72" t="s">
        <v>18</v>
      </c>
      <c r="H56" s="72">
        <f>100-I18</f>
        <v>96.269000000000005</v>
      </c>
      <c r="I56" s="71"/>
      <c r="J56" s="72"/>
      <c r="K56" s="72"/>
      <c r="L56" s="72"/>
      <c r="M56" s="71"/>
      <c r="O56" s="71"/>
    </row>
    <row r="57" spans="1:15" hidden="1" x14ac:dyDescent="0.25">
      <c r="A57" s="12"/>
      <c r="B57" s="71"/>
      <c r="C57" s="71" t="s">
        <v>19</v>
      </c>
      <c r="D57" s="72"/>
      <c r="E57" s="72"/>
      <c r="G57" s="72" t="s">
        <v>88</v>
      </c>
      <c r="I57" s="71"/>
      <c r="J57" s="72"/>
      <c r="K57" s="72"/>
      <c r="L57" s="72"/>
      <c r="M57" s="71"/>
      <c r="O57" s="71"/>
    </row>
    <row r="58" spans="1:15" x14ac:dyDescent="0.25">
      <c r="A58" s="12"/>
      <c r="B58" s="71"/>
      <c r="C58" s="71"/>
      <c r="D58" s="72"/>
      <c r="E58" s="72"/>
      <c r="F58" s="72"/>
      <c r="G58" s="72"/>
      <c r="H58" s="71"/>
      <c r="I58" s="71"/>
      <c r="J58" s="72"/>
      <c r="K58" s="72"/>
      <c r="L58" s="72"/>
      <c r="M58" s="71"/>
      <c r="O58" s="71"/>
    </row>
    <row r="59" spans="1:15" x14ac:dyDescent="0.25">
      <c r="A59" s="71"/>
      <c r="B59" s="71"/>
      <c r="C59" s="71"/>
      <c r="D59" s="72"/>
      <c r="E59" s="72"/>
      <c r="F59" s="72"/>
      <c r="G59" s="72"/>
      <c r="H59" s="71"/>
      <c r="I59" s="71"/>
      <c r="J59" s="72"/>
      <c r="K59" s="72"/>
      <c r="L59" s="72"/>
      <c r="M59" s="71"/>
      <c r="O59" s="71"/>
    </row>
    <row r="60" spans="1:15" x14ac:dyDescent="0.25">
      <c r="A60" s="71"/>
      <c r="B60" s="71"/>
      <c r="C60" s="71"/>
      <c r="D60" s="72"/>
      <c r="E60" s="72"/>
      <c r="F60" s="72"/>
      <c r="G60" s="72"/>
      <c r="H60" s="71"/>
      <c r="I60" s="71"/>
      <c r="J60" s="72"/>
      <c r="K60" s="72"/>
      <c r="L60" s="72"/>
      <c r="M60" s="71"/>
      <c r="O60" s="71"/>
    </row>
    <row r="61" spans="1:15" x14ac:dyDescent="0.25">
      <c r="A61" s="66"/>
      <c r="B61" s="71"/>
      <c r="C61" s="71"/>
      <c r="D61" s="72"/>
      <c r="E61" s="72"/>
      <c r="F61" s="72"/>
      <c r="G61" s="72"/>
      <c r="H61" s="71"/>
      <c r="I61" s="71"/>
      <c r="J61" s="72"/>
      <c r="K61" s="72"/>
      <c r="L61" s="72"/>
      <c r="M61" s="71"/>
      <c r="O61" s="71"/>
    </row>
    <row r="62" spans="1:15" hidden="1" x14ac:dyDescent="0.25">
      <c r="A62" s="66"/>
      <c r="B62" s="71"/>
      <c r="C62" s="11" t="str">
        <f>G55</f>
        <v>X</v>
      </c>
      <c r="D62" s="3">
        <f t="array" ref="D62:D63">MMULT(MINVERSE(D55:E56),H55:H56)/100</f>
        <v>0.71394911300209563</v>
      </c>
      <c r="E62" s="72"/>
      <c r="F62" s="72"/>
      <c r="G62" s="72"/>
      <c r="H62" s="71"/>
      <c r="I62" s="71"/>
      <c r="J62" s="72"/>
      <c r="K62" s="72"/>
      <c r="L62" s="72"/>
      <c r="M62" s="71"/>
      <c r="O62" s="71"/>
    </row>
    <row r="63" spans="1:15" hidden="1" x14ac:dyDescent="0.25">
      <c r="A63" s="66"/>
      <c r="B63" s="71"/>
      <c r="C63" s="11" t="str">
        <f>G56</f>
        <v>Y</v>
      </c>
      <c r="D63" s="3">
        <v>0.24874088699790461</v>
      </c>
      <c r="J63" s="72"/>
      <c r="K63" s="72"/>
      <c r="L63" s="72"/>
      <c r="M63" s="71"/>
      <c r="O63" s="71"/>
    </row>
    <row r="64" spans="1:15" hidden="1" x14ac:dyDescent="0.25">
      <c r="A64" s="66"/>
      <c r="B64" s="71"/>
      <c r="C64" s="11" t="str">
        <f>G57</f>
        <v>q</v>
      </c>
      <c r="D64" s="3">
        <f>I18/100</f>
        <v>3.7309999999999996E-2</v>
      </c>
      <c r="J64" s="72"/>
      <c r="K64" s="72"/>
      <c r="L64" s="72"/>
      <c r="M64" s="71"/>
      <c r="O64" s="71"/>
    </row>
    <row r="65" spans="1:15" hidden="1" x14ac:dyDescent="0.25">
      <c r="A65" s="66"/>
      <c r="B65" s="71"/>
      <c r="C65" s="71"/>
      <c r="D65" s="126">
        <f>SUM(D62:D64)</f>
        <v>1.0000000000000002</v>
      </c>
      <c r="J65" s="72"/>
      <c r="K65" s="72"/>
      <c r="L65" s="72"/>
      <c r="M65" s="71"/>
      <c r="O65" s="71"/>
    </row>
    <row r="66" spans="1:15" hidden="1" x14ac:dyDescent="0.25">
      <c r="A66" s="66"/>
      <c r="B66" s="71"/>
      <c r="C66" s="72"/>
      <c r="D66" s="72"/>
      <c r="E66" s="71"/>
      <c r="F66" s="71"/>
      <c r="G66" s="71"/>
      <c r="H66" s="71"/>
      <c r="I66" s="71"/>
      <c r="N66" s="71"/>
      <c r="O66" s="71"/>
    </row>
    <row r="67" spans="1:15" ht="17.25" hidden="1" customHeight="1" x14ac:dyDescent="0.25">
      <c r="A67" s="66"/>
      <c r="B67" s="71"/>
      <c r="C67" s="71"/>
      <c r="D67" s="71" t="str">
        <f>D21</f>
        <v>M.P. 1</v>
      </c>
      <c r="E67" s="71" t="str">
        <f>E21</f>
        <v>M.P.2</v>
      </c>
      <c r="F67" s="71" t="s">
        <v>52</v>
      </c>
      <c r="G67" s="71"/>
      <c r="H67" s="71"/>
      <c r="I67" s="71"/>
      <c r="J67" s="71"/>
      <c r="K67" s="71"/>
      <c r="L67" s="71"/>
      <c r="M67" s="71"/>
      <c r="N67" s="71"/>
      <c r="O67" s="71"/>
    </row>
    <row r="68" spans="1:15" ht="11.25" hidden="1" customHeight="1" x14ac:dyDescent="0.25">
      <c r="A68" s="66"/>
      <c r="B68" s="71"/>
      <c r="C68" s="71"/>
      <c r="D68" s="71" t="str">
        <f>D22</f>
        <v>CALIZA</v>
      </c>
      <c r="E68" s="71" t="str">
        <f>E22</f>
        <v>ESCORIAS DE HORNO ALTO</v>
      </c>
      <c r="F68" s="71" t="str">
        <f>F22</f>
        <v>CENIZAS DE PIRITA</v>
      </c>
      <c r="G68" s="71" t="str">
        <f>D68</f>
        <v>CALIZA</v>
      </c>
      <c r="H68" s="71" t="str">
        <f>E68</f>
        <v>ESCORIAS DE HORNO ALTO</v>
      </c>
      <c r="I68" s="71" t="str">
        <f>F68</f>
        <v>CENIZAS DE PIRITA</v>
      </c>
      <c r="J68" s="71" t="s">
        <v>16</v>
      </c>
      <c r="K68" s="71" t="s">
        <v>15</v>
      </c>
      <c r="M68" s="71" t="s">
        <v>87</v>
      </c>
      <c r="N68" s="71"/>
      <c r="O68" s="71"/>
    </row>
    <row r="69" spans="1:15" hidden="1" x14ac:dyDescent="0.25">
      <c r="A69" s="66"/>
      <c r="B69" s="71"/>
      <c r="C69" s="71"/>
      <c r="D69" s="71"/>
      <c r="E69" s="71"/>
      <c r="F69" s="71"/>
      <c r="G69" s="2">
        <f>D62</f>
        <v>0.71394911300209563</v>
      </c>
      <c r="H69" s="2">
        <f>D63</f>
        <v>0.24874088699790461</v>
      </c>
      <c r="I69" s="2">
        <f>D64</f>
        <v>3.7309999999999996E-2</v>
      </c>
      <c r="J69" s="71"/>
      <c r="K69" s="71"/>
      <c r="M69" s="71"/>
      <c r="N69" s="71"/>
      <c r="O69" s="71"/>
    </row>
    <row r="70" spans="1:15" hidden="1" x14ac:dyDescent="0.25">
      <c r="A70" s="66"/>
      <c r="B70" s="71"/>
      <c r="C70" s="71" t="str">
        <f t="shared" ref="C70:C81" si="8">I23</f>
        <v>SiO2</v>
      </c>
      <c r="D70" s="9">
        <f t="shared" ref="D70:D81" si="9">J23</f>
        <v>3.89</v>
      </c>
      <c r="E70" s="9">
        <f t="shared" ref="E70:E81" si="10">K23</f>
        <v>70.03</v>
      </c>
      <c r="F70" s="9">
        <f t="shared" ref="F70:F81" si="11">L23</f>
        <v>51.32</v>
      </c>
      <c r="G70" s="8">
        <f t="shared" ref="G70:G81" si="12">D70*$G$69</f>
        <v>2.7772620495781521</v>
      </c>
      <c r="H70" s="8">
        <f t="shared" ref="H70:H81" si="13">E70*$H$69</f>
        <v>17.419324316463261</v>
      </c>
      <c r="I70" s="8">
        <f t="shared" ref="I70:I81" si="14">F70*$I$69</f>
        <v>1.9147491999999997</v>
      </c>
      <c r="J70" s="4">
        <f t="shared" ref="J70:J81" si="15">H70+G70+I70</f>
        <v>22.111335566041411</v>
      </c>
      <c r="K70" s="3">
        <f t="shared" ref="K70:K81" si="16">IF(C70&lt;&gt;"P.C.",J70+((J70*$J$76)/(100-$J$76)),0)</f>
        <v>22.111335566041411</v>
      </c>
      <c r="L70" t="s">
        <v>84</v>
      </c>
      <c r="M70" s="71">
        <f>(K70-J70)/(F70-J70)</f>
        <v>0</v>
      </c>
      <c r="N70" s="71"/>
      <c r="O70" s="71"/>
    </row>
    <row r="71" spans="1:15" hidden="1" x14ac:dyDescent="0.25">
      <c r="A71" s="66"/>
      <c r="B71" s="71"/>
      <c r="C71" s="71" t="str">
        <f t="shared" si="8"/>
        <v>Al2O3</v>
      </c>
      <c r="D71" s="9">
        <f t="shared" si="9"/>
        <v>1.93</v>
      </c>
      <c r="E71" s="9">
        <f t="shared" si="10"/>
        <v>17.170000000000002</v>
      </c>
      <c r="F71" s="9">
        <f t="shared" si="11"/>
        <v>10.19</v>
      </c>
      <c r="G71" s="8">
        <f t="shared" si="12"/>
        <v>1.3779217880940444</v>
      </c>
      <c r="H71" s="8">
        <f t="shared" si="13"/>
        <v>4.2708810297540225</v>
      </c>
      <c r="I71" s="8">
        <f t="shared" si="14"/>
        <v>0.38018889999999994</v>
      </c>
      <c r="J71" s="4">
        <f t="shared" si="15"/>
        <v>6.0289917178480668</v>
      </c>
      <c r="K71" s="3">
        <f t="shared" si="16"/>
        <v>6.0289917178480668</v>
      </c>
      <c r="L71" t="s">
        <v>85</v>
      </c>
      <c r="M71" s="71">
        <f>(K71-J71)/(F71-J71)</f>
        <v>0</v>
      </c>
      <c r="N71" s="71"/>
      <c r="O71" s="71"/>
    </row>
    <row r="72" spans="1:15" hidden="1" x14ac:dyDescent="0.25">
      <c r="A72" s="66"/>
      <c r="B72" s="71"/>
      <c r="C72" s="71" t="str">
        <f t="shared" si="8"/>
        <v>Fe2O3</v>
      </c>
      <c r="D72" s="9">
        <f t="shared" si="9"/>
        <v>0.93</v>
      </c>
      <c r="E72" s="9">
        <f t="shared" si="10"/>
        <v>5</v>
      </c>
      <c r="F72" s="9">
        <f t="shared" si="11"/>
        <v>16.11</v>
      </c>
      <c r="G72" s="8">
        <f t="shared" si="12"/>
        <v>0.66397267509194902</v>
      </c>
      <c r="H72" s="8">
        <f t="shared" si="13"/>
        <v>1.243704434989523</v>
      </c>
      <c r="I72" s="8">
        <f t="shared" si="14"/>
        <v>0.60106409999999988</v>
      </c>
      <c r="J72" s="4">
        <f t="shared" si="15"/>
        <v>2.5087412100814719</v>
      </c>
      <c r="K72" s="3">
        <f t="shared" si="16"/>
        <v>2.5087412100814719</v>
      </c>
      <c r="L72" t="s">
        <v>86</v>
      </c>
      <c r="M72" s="71">
        <f>(K72-J72)/(F72-J72)</f>
        <v>0</v>
      </c>
      <c r="N72" s="71"/>
      <c r="O72" s="71"/>
    </row>
    <row r="73" spans="1:15" hidden="1" x14ac:dyDescent="0.25">
      <c r="A73" s="66"/>
      <c r="B73" s="71"/>
      <c r="C73" s="71" t="str">
        <f t="shared" si="8"/>
        <v>CaO</v>
      </c>
      <c r="D73" s="9">
        <f t="shared" si="9"/>
        <v>91.19</v>
      </c>
      <c r="E73" s="9">
        <f t="shared" si="10"/>
        <v>4.25</v>
      </c>
      <c r="F73" s="9">
        <f t="shared" si="11"/>
        <v>10.3</v>
      </c>
      <c r="G73" s="8">
        <f t="shared" si="12"/>
        <v>65.105019614661103</v>
      </c>
      <c r="H73" s="8">
        <f t="shared" si="13"/>
        <v>1.0571487697410946</v>
      </c>
      <c r="I73" s="8">
        <f t="shared" si="14"/>
        <v>0.384293</v>
      </c>
      <c r="J73" s="4">
        <f t="shared" si="15"/>
        <v>66.546461384402193</v>
      </c>
      <c r="K73" s="3">
        <f t="shared" si="16"/>
        <v>66.546461384402193</v>
      </c>
      <c r="L73" t="s">
        <v>83</v>
      </c>
      <c r="M73" s="71">
        <f>(K73-J73)/(F73-J73)</f>
        <v>0</v>
      </c>
      <c r="N73" s="71"/>
      <c r="O73" s="71"/>
    </row>
    <row r="74" spans="1:15" hidden="1" x14ac:dyDescent="0.25">
      <c r="A74" s="66"/>
      <c r="B74" s="71"/>
      <c r="C74" s="71" t="str">
        <f t="shared" si="8"/>
        <v>MgO</v>
      </c>
      <c r="D74" s="9">
        <f t="shared" si="9"/>
        <v>1.41</v>
      </c>
      <c r="E74" s="9">
        <f t="shared" si="10"/>
        <v>3.17</v>
      </c>
      <c r="F74" s="9">
        <f t="shared" si="11"/>
        <v>4.1500000000000004</v>
      </c>
      <c r="G74" s="8">
        <f t="shared" si="12"/>
        <v>1.0066682493329548</v>
      </c>
      <c r="H74" s="8">
        <f t="shared" si="13"/>
        <v>0.78850861178335763</v>
      </c>
      <c r="I74" s="8">
        <f t="shared" si="14"/>
        <v>0.15483649999999999</v>
      </c>
      <c r="J74" s="4">
        <f t="shared" si="15"/>
        <v>1.9500133611163126</v>
      </c>
      <c r="K74" s="3">
        <f t="shared" si="16"/>
        <v>1.9500133611163126</v>
      </c>
      <c r="M74" s="71"/>
      <c r="N74" s="71"/>
      <c r="O74" s="71"/>
    </row>
    <row r="75" spans="1:15" hidden="1" x14ac:dyDescent="0.25">
      <c r="A75" s="66"/>
      <c r="B75" s="71"/>
      <c r="C75" s="71" t="str">
        <f t="shared" si="8"/>
        <v>SO3</v>
      </c>
      <c r="D75" s="9">
        <f t="shared" si="9"/>
        <v>0.5</v>
      </c>
      <c r="E75" s="9">
        <f t="shared" si="10"/>
        <v>0</v>
      </c>
      <c r="F75" s="9">
        <f t="shared" si="11"/>
        <v>6.58</v>
      </c>
      <c r="G75" s="8">
        <f t="shared" si="12"/>
        <v>0.35697455650104781</v>
      </c>
      <c r="H75" s="8">
        <f t="shared" si="13"/>
        <v>0</v>
      </c>
      <c r="I75" s="8">
        <f t="shared" si="14"/>
        <v>0.24549979999999996</v>
      </c>
      <c r="J75" s="4">
        <f t="shared" si="15"/>
        <v>0.60247435650104775</v>
      </c>
      <c r="K75" s="3">
        <f t="shared" si="16"/>
        <v>0.60247435650104775</v>
      </c>
      <c r="M75" s="71" t="s">
        <v>88</v>
      </c>
      <c r="N75" s="71"/>
      <c r="O75" s="71"/>
    </row>
    <row r="76" spans="1:15" hidden="1" x14ac:dyDescent="0.25">
      <c r="A76" s="66"/>
      <c r="B76" s="71"/>
      <c r="C76" s="71" t="str">
        <f t="shared" si="8"/>
        <v>P.C.</v>
      </c>
      <c r="D76" s="9">
        <f t="shared" si="9"/>
        <v>0</v>
      </c>
      <c r="E76" s="9">
        <f t="shared" si="10"/>
        <v>0</v>
      </c>
      <c r="F76" s="9">
        <f t="shared" si="11"/>
        <v>0</v>
      </c>
      <c r="G76" s="8">
        <f t="shared" si="12"/>
        <v>0</v>
      </c>
      <c r="H76" s="8">
        <f t="shared" si="13"/>
        <v>0</v>
      </c>
      <c r="I76" s="8">
        <f t="shared" si="14"/>
        <v>0</v>
      </c>
      <c r="J76" s="4">
        <f t="shared" si="15"/>
        <v>0</v>
      </c>
      <c r="K76" s="3">
        <f t="shared" si="16"/>
        <v>0</v>
      </c>
      <c r="M76" s="71">
        <f>AVERAGE(M70:M73)</f>
        <v>0</v>
      </c>
      <c r="N76" s="71"/>
      <c r="O76" s="71"/>
    </row>
    <row r="77" spans="1:15" hidden="1" x14ac:dyDescent="0.25">
      <c r="A77" s="66"/>
      <c r="B77" s="71"/>
      <c r="C77" s="71" t="str">
        <f t="shared" si="8"/>
        <v>Resto</v>
      </c>
      <c r="D77" s="9">
        <f t="shared" si="9"/>
        <v>0.15</v>
      </c>
      <c r="E77" s="9">
        <f t="shared" si="10"/>
        <v>0.38</v>
      </c>
      <c r="F77" s="9">
        <f t="shared" si="11"/>
        <v>1.35</v>
      </c>
      <c r="G77" s="8">
        <f t="shared" si="12"/>
        <v>0.10709236695031434</v>
      </c>
      <c r="H77" s="8">
        <f t="shared" si="13"/>
        <v>9.4521537059203756E-2</v>
      </c>
      <c r="I77" s="8">
        <f t="shared" si="14"/>
        <v>5.0368499999999997E-2</v>
      </c>
      <c r="J77" s="4">
        <f t="shared" si="15"/>
        <v>0.2519824040095181</v>
      </c>
      <c r="K77" s="3">
        <f t="shared" si="16"/>
        <v>0.2519824040095181</v>
      </c>
      <c r="M77" s="71"/>
      <c r="N77" s="71"/>
      <c r="O77" s="71"/>
    </row>
    <row r="78" spans="1:15" hidden="1" x14ac:dyDescent="0.25">
      <c r="A78" s="66"/>
      <c r="B78" s="71"/>
      <c r="C78" s="71" t="str">
        <f t="shared" si="8"/>
        <v>TiO2</v>
      </c>
      <c r="D78" s="9">
        <f t="shared" si="9"/>
        <v>0</v>
      </c>
      <c r="E78" s="9">
        <f t="shared" si="10"/>
        <v>0</v>
      </c>
      <c r="F78" s="9">
        <f t="shared" si="11"/>
        <v>0</v>
      </c>
      <c r="G78" s="8">
        <f t="shared" si="12"/>
        <v>0</v>
      </c>
      <c r="H78" s="8">
        <f t="shared" si="13"/>
        <v>0</v>
      </c>
      <c r="I78" s="8">
        <f t="shared" si="14"/>
        <v>0</v>
      </c>
      <c r="J78" s="4">
        <f t="shared" si="15"/>
        <v>0</v>
      </c>
      <c r="K78" s="3">
        <f t="shared" si="16"/>
        <v>0</v>
      </c>
      <c r="M78" s="71"/>
      <c r="N78" s="71"/>
      <c r="O78" s="71"/>
    </row>
    <row r="79" spans="1:15" hidden="1" x14ac:dyDescent="0.25">
      <c r="A79" s="66"/>
      <c r="B79" s="71"/>
      <c r="C79" s="71" t="str">
        <f t="shared" si="8"/>
        <v>Mn2O3</v>
      </c>
      <c r="D79" s="9">
        <f t="shared" si="9"/>
        <v>0</v>
      </c>
      <c r="E79" s="9">
        <f t="shared" si="10"/>
        <v>0</v>
      </c>
      <c r="F79" s="9">
        <f t="shared" si="11"/>
        <v>0</v>
      </c>
      <c r="G79" s="8">
        <f t="shared" si="12"/>
        <v>0</v>
      </c>
      <c r="H79" s="8">
        <f t="shared" si="13"/>
        <v>0</v>
      </c>
      <c r="I79" s="8">
        <f t="shared" si="14"/>
        <v>0</v>
      </c>
      <c r="J79" s="4">
        <f t="shared" si="15"/>
        <v>0</v>
      </c>
      <c r="K79" s="3">
        <f t="shared" si="16"/>
        <v>0</v>
      </c>
      <c r="M79" s="71"/>
      <c r="N79" s="71"/>
      <c r="O79" s="71"/>
    </row>
    <row r="80" spans="1:15" hidden="1" x14ac:dyDescent="0.25">
      <c r="A80" s="66"/>
      <c r="B80" s="71"/>
      <c r="C80" s="71" t="str">
        <f t="shared" si="8"/>
        <v>Na2O</v>
      </c>
      <c r="D80" s="9">
        <f t="shared" si="9"/>
        <v>0</v>
      </c>
      <c r="E80" s="9">
        <f t="shared" si="10"/>
        <v>0</v>
      </c>
      <c r="F80" s="9">
        <f t="shared" si="11"/>
        <v>0</v>
      </c>
      <c r="G80" s="8">
        <f t="shared" si="12"/>
        <v>0</v>
      </c>
      <c r="H80" s="8">
        <f t="shared" si="13"/>
        <v>0</v>
      </c>
      <c r="I80" s="8">
        <f t="shared" si="14"/>
        <v>0</v>
      </c>
      <c r="J80" s="4">
        <f t="shared" si="15"/>
        <v>0</v>
      </c>
      <c r="K80" s="3">
        <f t="shared" si="16"/>
        <v>0</v>
      </c>
      <c r="M80" s="71"/>
      <c r="N80" s="71"/>
      <c r="O80" s="71"/>
    </row>
    <row r="81" spans="1:15" hidden="1" x14ac:dyDescent="0.25">
      <c r="A81" s="66"/>
      <c r="B81" s="71"/>
      <c r="C81" s="71" t="str">
        <f t="shared" si="8"/>
        <v>K2O</v>
      </c>
      <c r="D81" s="9">
        <f t="shared" si="9"/>
        <v>0</v>
      </c>
      <c r="E81" s="9">
        <f t="shared" si="10"/>
        <v>0</v>
      </c>
      <c r="F81" s="9">
        <f t="shared" si="11"/>
        <v>0</v>
      </c>
      <c r="G81" s="8">
        <f t="shared" si="12"/>
        <v>0</v>
      </c>
      <c r="H81" s="8">
        <f t="shared" si="13"/>
        <v>0</v>
      </c>
      <c r="I81" s="8">
        <f t="shared" si="14"/>
        <v>0</v>
      </c>
      <c r="J81" s="4">
        <f t="shared" si="15"/>
        <v>0</v>
      </c>
      <c r="K81" s="3">
        <f t="shared" si="16"/>
        <v>0</v>
      </c>
      <c r="M81" s="71"/>
      <c r="N81" s="71"/>
      <c r="O81" s="71"/>
    </row>
    <row r="82" spans="1:15" hidden="1" x14ac:dyDescent="0.25">
      <c r="A82" s="66"/>
      <c r="B82" s="71"/>
      <c r="C82" s="71"/>
      <c r="D82" s="71"/>
      <c r="E82" s="71"/>
      <c r="F82" s="71"/>
      <c r="G82" s="2"/>
      <c r="H82" s="2"/>
      <c r="I82" s="2"/>
      <c r="J82" s="71"/>
      <c r="K82" s="71"/>
      <c r="M82" s="71"/>
      <c r="N82" s="71"/>
      <c r="O82" s="71"/>
    </row>
    <row r="83" spans="1:15" hidden="1" x14ac:dyDescent="0.25">
      <c r="A83" s="66"/>
      <c r="B83" s="71"/>
      <c r="C83" s="71" t="s">
        <v>14</v>
      </c>
      <c r="D83" s="7">
        <f t="shared" ref="D83:K83" si="17">SUM(D70:D81)</f>
        <v>100</v>
      </c>
      <c r="E83" s="7">
        <f t="shared" si="17"/>
        <v>100</v>
      </c>
      <c r="F83" s="7">
        <f t="shared" si="17"/>
        <v>100</v>
      </c>
      <c r="G83" s="7">
        <f t="shared" si="17"/>
        <v>71.394911300209571</v>
      </c>
      <c r="H83" s="7">
        <f t="shared" si="17"/>
        <v>24.874088699790462</v>
      </c>
      <c r="I83" s="7">
        <f t="shared" si="17"/>
        <v>3.7309999999999994</v>
      </c>
      <c r="J83" s="7">
        <f t="shared" si="17"/>
        <v>100.00000000000003</v>
      </c>
      <c r="K83" s="7">
        <f t="shared" si="17"/>
        <v>100.00000000000003</v>
      </c>
      <c r="M83" s="71"/>
      <c r="N83" s="71"/>
      <c r="O83" s="71"/>
    </row>
    <row r="84" spans="1:15" hidden="1" x14ac:dyDescent="0.25">
      <c r="A84" s="66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</row>
    <row r="85" spans="1:15" hidden="1" x14ac:dyDescent="0.25">
      <c r="A85" s="66"/>
      <c r="B85" s="71"/>
      <c r="C85" s="161" t="s">
        <v>13</v>
      </c>
      <c r="D85" s="161"/>
      <c r="E85" s="161"/>
      <c r="F85" s="161"/>
      <c r="G85" s="161"/>
      <c r="H85" s="161"/>
      <c r="I85" s="161"/>
      <c r="J85" s="161"/>
      <c r="K85" s="161"/>
      <c r="L85" s="161"/>
      <c r="M85" s="71"/>
      <c r="N85" s="71"/>
      <c r="O85" s="71"/>
    </row>
    <row r="86" spans="1:15" hidden="1" x14ac:dyDescent="0.25">
      <c r="A86" s="66"/>
      <c r="B86" s="7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71"/>
      <c r="N86" s="71"/>
      <c r="O86" s="71"/>
    </row>
    <row r="87" spans="1:15" hidden="1" x14ac:dyDescent="0.25">
      <c r="A87" s="66"/>
      <c r="C87" s="71" t="s">
        <v>12</v>
      </c>
      <c r="D87" s="2">
        <f t="shared" ref="D87:K87" si="18">D73/(D72+D71+D70)</f>
        <v>13.509629629629629</v>
      </c>
      <c r="E87" s="2">
        <f t="shared" si="18"/>
        <v>4.6095444685466377E-2</v>
      </c>
      <c r="F87" s="2">
        <f t="shared" si="18"/>
        <v>0.132697758309714</v>
      </c>
      <c r="G87" s="2">
        <f t="shared" si="18"/>
        <v>13.509629629629631</v>
      </c>
      <c r="H87" s="2">
        <f t="shared" si="18"/>
        <v>4.609544468546637E-2</v>
      </c>
      <c r="I87" s="2">
        <f t="shared" si="18"/>
        <v>0.132697758309714</v>
      </c>
      <c r="J87" s="4">
        <f t="shared" si="18"/>
        <v>2.1712392791804653</v>
      </c>
      <c r="K87" s="6">
        <f t="shared" si="18"/>
        <v>2.1712392791804653</v>
      </c>
      <c r="L87" s="71" t="str">
        <f>C87</f>
        <v>MH</v>
      </c>
      <c r="M87" s="71"/>
      <c r="O87" s="71"/>
    </row>
    <row r="88" spans="1:15" hidden="1" x14ac:dyDescent="0.25">
      <c r="A88" s="66"/>
      <c r="C88" s="71" t="s">
        <v>11</v>
      </c>
      <c r="D88" s="2">
        <f t="shared" ref="D88:K88" si="19">D70/(D71+D72)</f>
        <v>1.3601398601398602</v>
      </c>
      <c r="E88" s="2">
        <f t="shared" si="19"/>
        <v>3.1587731168245377</v>
      </c>
      <c r="F88" s="2">
        <f t="shared" si="19"/>
        <v>1.9513307984790877</v>
      </c>
      <c r="G88" s="2">
        <f t="shared" si="19"/>
        <v>1.3601398601398602</v>
      </c>
      <c r="H88" s="2">
        <f t="shared" si="19"/>
        <v>3.1587731168245377</v>
      </c>
      <c r="I88" s="2">
        <f t="shared" si="19"/>
        <v>1.9513307984790875</v>
      </c>
      <c r="J88" s="4">
        <f t="shared" si="19"/>
        <v>2.5898368750454188</v>
      </c>
      <c r="K88" s="6">
        <f t="shared" si="19"/>
        <v>2.5898368750454188</v>
      </c>
      <c r="L88" s="71" t="str">
        <f>C88</f>
        <v>SM</v>
      </c>
      <c r="M88" s="71"/>
      <c r="O88" s="71"/>
    </row>
    <row r="89" spans="1:15" hidden="1" x14ac:dyDescent="0.25">
      <c r="A89" s="66"/>
      <c r="C89" s="71" t="s">
        <v>10</v>
      </c>
      <c r="D89" s="2">
        <f t="shared" ref="D89:K89" si="20">D71/D72</f>
        <v>2.075268817204301</v>
      </c>
      <c r="E89" s="2">
        <f t="shared" si="20"/>
        <v>3.4340000000000002</v>
      </c>
      <c r="F89" s="2">
        <f t="shared" si="20"/>
        <v>0.63252638112973303</v>
      </c>
      <c r="G89" s="2">
        <f t="shared" si="20"/>
        <v>2.0752688172043006</v>
      </c>
      <c r="H89" s="2">
        <f t="shared" si="20"/>
        <v>3.4340000000000006</v>
      </c>
      <c r="I89" s="2">
        <f t="shared" si="20"/>
        <v>0.63252638112973314</v>
      </c>
      <c r="J89" s="4">
        <f t="shared" si="20"/>
        <v>2.4031939578384307</v>
      </c>
      <c r="K89" s="6">
        <f t="shared" si="20"/>
        <v>2.4031939578384307</v>
      </c>
      <c r="L89" s="71" t="str">
        <f>C89</f>
        <v>TM</v>
      </c>
      <c r="M89" s="71"/>
      <c r="O89" s="71"/>
    </row>
    <row r="90" spans="1:15" hidden="1" x14ac:dyDescent="0.25">
      <c r="A90" s="66"/>
      <c r="C90" s="71" t="s">
        <v>9</v>
      </c>
      <c r="D90" s="2">
        <f t="shared" ref="D90:K90" si="21">D70/D71</f>
        <v>2.0155440414507773</v>
      </c>
      <c r="E90" s="2">
        <f t="shared" si="21"/>
        <v>4.0786255096097843</v>
      </c>
      <c r="F90" s="2">
        <f t="shared" si="21"/>
        <v>5.03631010794897</v>
      </c>
      <c r="G90" s="2">
        <f t="shared" si="21"/>
        <v>2.0155440414507777</v>
      </c>
      <c r="H90" s="2">
        <f t="shared" si="21"/>
        <v>4.0786255096097843</v>
      </c>
      <c r="I90" s="2">
        <f t="shared" si="21"/>
        <v>5.0363101079489692</v>
      </c>
      <c r="J90" s="4">
        <f t="shared" si="21"/>
        <v>3.6675014000406736</v>
      </c>
      <c r="K90" s="6">
        <f t="shared" si="21"/>
        <v>3.6675014000406736</v>
      </c>
      <c r="L90" s="71" t="str">
        <f>C90</f>
        <v>MS</v>
      </c>
      <c r="M90" s="71"/>
      <c r="O90" s="71"/>
    </row>
    <row r="91" spans="1:15" hidden="1" x14ac:dyDescent="0.25">
      <c r="A91" s="66"/>
      <c r="M91" s="71"/>
      <c r="O91" s="71"/>
    </row>
    <row r="92" spans="1:15" hidden="1" x14ac:dyDescent="0.25">
      <c r="A92" s="66"/>
      <c r="B92" s="71"/>
      <c r="C92" s="161" t="s">
        <v>8</v>
      </c>
      <c r="D92" s="161"/>
      <c r="E92" s="161"/>
      <c r="F92" s="161"/>
      <c r="G92" s="161"/>
      <c r="H92" s="161"/>
      <c r="I92" s="161"/>
      <c r="J92" s="161"/>
      <c r="K92" s="161"/>
      <c r="L92" s="161"/>
      <c r="M92" s="71"/>
      <c r="N92" s="71"/>
      <c r="O92" s="71"/>
    </row>
    <row r="93" spans="1:15" hidden="1" x14ac:dyDescent="0.25">
      <c r="A93" s="66"/>
      <c r="B93" s="7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71"/>
      <c r="N93" s="71"/>
      <c r="O93" s="71"/>
    </row>
    <row r="94" spans="1:15" hidden="1" x14ac:dyDescent="0.25">
      <c r="A94" s="66"/>
      <c r="B94" s="71"/>
      <c r="M94" s="71"/>
      <c r="N94" s="71"/>
      <c r="O94" s="71"/>
    </row>
    <row r="95" spans="1:15" hidden="1" x14ac:dyDescent="0.25">
      <c r="A95" s="66"/>
      <c r="C95" s="71" t="s">
        <v>6</v>
      </c>
      <c r="D95" s="2">
        <f t="shared" ref="D95:K95" si="22">(D73)/(2.8*D70+1.65*D71+0.35*D72)</f>
        <v>6.3317594778502988</v>
      </c>
      <c r="E95" s="2">
        <f t="shared" si="22"/>
        <v>1.8791631754762571E-2</v>
      </c>
      <c r="F95" s="2">
        <f t="shared" si="22"/>
        <v>6.1992921973180543E-2</v>
      </c>
      <c r="G95" s="2">
        <f t="shared" si="22"/>
        <v>6.3317594778502988</v>
      </c>
      <c r="H95" s="2">
        <f t="shared" si="22"/>
        <v>1.8791631754762571E-2</v>
      </c>
      <c r="I95" s="2">
        <f t="shared" si="22"/>
        <v>6.1992921973180556E-2</v>
      </c>
      <c r="J95" s="4">
        <f t="shared" si="22"/>
        <v>0.91488348597936053</v>
      </c>
      <c r="K95" s="3">
        <f t="shared" si="22"/>
        <v>0.91488348597936053</v>
      </c>
      <c r="L95" s="2" t="str">
        <f t="shared" ref="L95:L100" si="23">C95</f>
        <v>KSG</v>
      </c>
      <c r="O95" s="71"/>
    </row>
    <row r="96" spans="1:15" hidden="1" x14ac:dyDescent="0.25">
      <c r="A96" s="66"/>
      <c r="C96" s="71" t="s">
        <v>5</v>
      </c>
      <c r="D96" s="2">
        <f t="shared" ref="D96:K96" si="24">(D73)/(2.8*D70+1.1*D71+0.7*D72)</f>
        <v>6.6727645250987848</v>
      </c>
      <c r="E96" s="2">
        <f t="shared" si="24"/>
        <v>1.9453382828842271E-2</v>
      </c>
      <c r="F96" s="2">
        <f t="shared" si="24"/>
        <v>6.1980238533655883E-2</v>
      </c>
      <c r="G96" s="2">
        <f t="shared" si="24"/>
        <v>6.6727645250987848</v>
      </c>
      <c r="H96" s="2">
        <f t="shared" si="24"/>
        <v>1.9453382828842271E-2</v>
      </c>
      <c r="I96" s="2">
        <f t="shared" si="24"/>
        <v>6.1980238533655883E-2</v>
      </c>
      <c r="J96" s="4">
        <f t="shared" si="24"/>
        <v>0.9466102230317609</v>
      </c>
      <c r="K96" s="3">
        <f t="shared" si="24"/>
        <v>0.9466102230317609</v>
      </c>
      <c r="L96" s="2" t="str">
        <f t="shared" si="23"/>
        <v>KSt</v>
      </c>
      <c r="M96" s="71"/>
      <c r="O96" s="71"/>
    </row>
    <row r="97" spans="1:15" hidden="1" x14ac:dyDescent="0.25">
      <c r="A97" s="66"/>
      <c r="C97" s="71" t="s">
        <v>4</v>
      </c>
      <c r="D97" s="2">
        <f t="shared" ref="D97:K97" si="25">(D73)/(2.8*D70+1.18*D71+0.65*D72)</f>
        <v>6.620492380516775</v>
      </c>
      <c r="E97" s="2">
        <f t="shared" si="25"/>
        <v>1.9353845677443797E-2</v>
      </c>
      <c r="F97" s="2">
        <f t="shared" si="25"/>
        <v>6.1976620974453001E-2</v>
      </c>
      <c r="G97" s="2">
        <f t="shared" si="25"/>
        <v>6.6204923805167741</v>
      </c>
      <c r="H97" s="2">
        <f t="shared" si="25"/>
        <v>1.9353845677443797E-2</v>
      </c>
      <c r="I97" s="2">
        <f t="shared" si="25"/>
        <v>6.1976620974453014E-2</v>
      </c>
      <c r="J97" s="4">
        <f t="shared" si="25"/>
        <v>0.94182895333191952</v>
      </c>
      <c r="K97" s="3">
        <f t="shared" si="25"/>
        <v>0.94182895333191952</v>
      </c>
      <c r="L97" s="2" t="str">
        <f t="shared" si="23"/>
        <v>KSt I</v>
      </c>
      <c r="M97" s="71"/>
      <c r="O97" s="71"/>
    </row>
    <row r="98" spans="1:15" hidden="1" x14ac:dyDescent="0.25">
      <c r="A98" s="66"/>
      <c r="C98" s="71" t="s">
        <v>7</v>
      </c>
      <c r="D98" s="2">
        <f t="shared" ref="D98:K98" si="26">(D73-(1.65*D71+0.35*D72))/(2.8*D70)</f>
        <v>8.0499449136981269</v>
      </c>
      <c r="E98" s="2">
        <f t="shared" si="26"/>
        <v>-0.1317318088166296</v>
      </c>
      <c r="F98" s="2">
        <f t="shared" si="26"/>
        <v>-8.4567420109119232E-2</v>
      </c>
      <c r="G98" s="2">
        <f t="shared" si="26"/>
        <v>8.0499449136981269</v>
      </c>
      <c r="H98" s="2">
        <f t="shared" si="26"/>
        <v>-0.1317318088166296</v>
      </c>
      <c r="I98" s="2">
        <f t="shared" si="26"/>
        <v>-8.4567420109119246E-2</v>
      </c>
      <c r="J98" s="4">
        <f t="shared" si="26"/>
        <v>0.90000000000000024</v>
      </c>
      <c r="K98" s="3">
        <f t="shared" si="26"/>
        <v>0.90000000000000024</v>
      </c>
      <c r="L98" s="71" t="str">
        <f t="shared" si="23"/>
        <v>KSK</v>
      </c>
      <c r="O98" s="71"/>
    </row>
    <row r="99" spans="1:15" hidden="1" x14ac:dyDescent="0.25">
      <c r="A99" s="66"/>
      <c r="C99" s="71" t="s">
        <v>3</v>
      </c>
      <c r="D99" s="2">
        <f t="shared" ref="D99:K99" si="27">((D73+0.75*D74))/(2.8*D70+1.18*D71+0.65*D72)</f>
        <v>6.6972680214027989</v>
      </c>
      <c r="E99" s="2">
        <f t="shared" si="27"/>
        <v>3.0180614641707942E-2</v>
      </c>
      <c r="F99" s="2">
        <f t="shared" si="27"/>
        <v>8.0704993089305913E-2</v>
      </c>
      <c r="G99" s="2">
        <f t="shared" si="27"/>
        <v>6.697268021402798</v>
      </c>
      <c r="H99" s="2">
        <f t="shared" si="27"/>
        <v>3.0180614641707949E-2</v>
      </c>
      <c r="I99" s="2">
        <f t="shared" si="27"/>
        <v>8.0704993089305926E-2</v>
      </c>
      <c r="J99" s="4">
        <f t="shared" si="27"/>
        <v>0.96252778920548898</v>
      </c>
      <c r="K99" s="3">
        <f t="shared" si="27"/>
        <v>0.96252778920548898</v>
      </c>
      <c r="L99" s="2" t="str">
        <f t="shared" si="23"/>
        <v>KSt II</v>
      </c>
      <c r="M99" s="71" t="s">
        <v>1</v>
      </c>
    </row>
    <row r="100" spans="1:15" hidden="1" x14ac:dyDescent="0.25">
      <c r="A100" s="66"/>
      <c r="B100" s="71"/>
      <c r="C100" s="71" t="s">
        <v>2</v>
      </c>
      <c r="D100" s="2">
        <f t="shared" ref="D100:K100" si="28">(D73-0.7*D75)/(2.8*D70+1.2*D71+0.65*D72)</f>
        <v>6.576651583710408</v>
      </c>
      <c r="E100" s="2">
        <f t="shared" si="28"/>
        <v>1.9323627567769099E-2</v>
      </c>
      <c r="F100" s="2">
        <f t="shared" si="28"/>
        <v>3.4219675411895162E-2</v>
      </c>
      <c r="G100" s="2">
        <f t="shared" si="28"/>
        <v>6.5766515837104071</v>
      </c>
      <c r="H100" s="2">
        <f t="shared" si="28"/>
        <v>1.9323627567769099E-2</v>
      </c>
      <c r="I100" s="2">
        <f t="shared" si="28"/>
        <v>3.4219675411895169E-2</v>
      </c>
      <c r="J100" s="4">
        <f t="shared" si="28"/>
        <v>0.9342658179964215</v>
      </c>
      <c r="K100" s="3">
        <f t="shared" si="28"/>
        <v>0.9342658179964215</v>
      </c>
      <c r="L100" s="2" t="str">
        <f t="shared" si="23"/>
        <v>LSF</v>
      </c>
      <c r="M100" s="71" t="s">
        <v>0</v>
      </c>
    </row>
    <row r="101" spans="1:15" x14ac:dyDescent="0.25">
      <c r="A101" s="66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</row>
    <row r="102" spans="1:15" x14ac:dyDescent="0.2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</row>
    <row r="103" spans="1:15" x14ac:dyDescent="0.2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</row>
    <row r="104" spans="1:15" x14ac:dyDescent="0.2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</row>
  </sheetData>
  <mergeCells count="26">
    <mergeCell ref="P12:S12"/>
    <mergeCell ref="U12:V12"/>
    <mergeCell ref="O6:AA6"/>
    <mergeCell ref="O8:AA8"/>
    <mergeCell ref="U10:V10"/>
    <mergeCell ref="P11:S11"/>
    <mergeCell ref="U11:V11"/>
    <mergeCell ref="P13:S13"/>
    <mergeCell ref="U13:V13"/>
    <mergeCell ref="C14:L14"/>
    <mergeCell ref="O15:AA15"/>
    <mergeCell ref="O21:AA21"/>
    <mergeCell ref="O33:AA33"/>
    <mergeCell ref="C85:L86"/>
    <mergeCell ref="C92:L93"/>
    <mergeCell ref="E17:F17"/>
    <mergeCell ref="E18:F18"/>
    <mergeCell ref="E19:F19"/>
    <mergeCell ref="S24:T24"/>
    <mergeCell ref="S25:T25"/>
    <mergeCell ref="O27:AA27"/>
    <mergeCell ref="R29:U29"/>
    <mergeCell ref="R30:U30"/>
    <mergeCell ref="X30:AA32"/>
    <mergeCell ref="R31:U31"/>
    <mergeCell ref="S23:T23"/>
  </mergeCells>
  <pageMargins left="0.7" right="0.7" top="0.75" bottom="0.75" header="0.3" footer="0.3"/>
  <pageSetup orientation="portrait" horizontalDpi="300" verticalDpi="0" copies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>
      <selection activeCell="P18" sqref="P1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3MP CON CENIZAS (2)</vt:lpstr>
      <vt:lpstr>yesos</vt:lpstr>
      <vt:lpstr>2 MP</vt:lpstr>
      <vt:lpstr>3MP</vt:lpstr>
      <vt:lpstr>GAUSS 2MP</vt:lpstr>
      <vt:lpstr>GAUSS 3MP</vt:lpstr>
      <vt:lpstr>CENIZAS</vt:lpstr>
      <vt:lpstr>3MP CON CENIZAS</vt:lpstr>
      <vt:lpstr>datos para interpretar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Ever Alexander Guapaya Lizana</cp:lastModifiedBy>
  <dcterms:created xsi:type="dcterms:W3CDTF">2018-11-18T15:17:32Z</dcterms:created>
  <dcterms:modified xsi:type="dcterms:W3CDTF">2019-01-05T02:18:39Z</dcterms:modified>
</cp:coreProperties>
</file>