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KET 2\200\PAR\MATERIALES DE CONSTRUCCION (IC-248)\CEMENTO\"/>
    </mc:Choice>
  </mc:AlternateContent>
  <xr:revisionPtr revIDLastSave="0" documentId="13_ncr:1_{9CDE040C-9AD9-4CA4-8179-3567FCFDE33E}" xr6:coauthVersionLast="40" xr6:coauthVersionMax="40" xr10:uidLastSave="{00000000-0000-0000-0000-000000000000}"/>
  <bookViews>
    <workbookView xWindow="0" yWindow="0" windowWidth="16410" windowHeight="6945" xr2:uid="{7C2355C6-AEDC-4FD3-A895-3C63AD294F8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N42" i="1" l="1"/>
  <c r="O65" i="1"/>
  <c r="O64" i="1"/>
  <c r="O63" i="1"/>
  <c r="O62" i="1"/>
  <c r="O61" i="1"/>
  <c r="O60" i="1"/>
  <c r="O56" i="1"/>
  <c r="O55" i="1"/>
  <c r="O54" i="1"/>
  <c r="O53" i="1"/>
  <c r="J12" i="1"/>
  <c r="E36" i="1" s="1"/>
  <c r="I12" i="1"/>
  <c r="I7" i="1"/>
  <c r="I25" i="1"/>
  <c r="G25" i="1"/>
  <c r="F25" i="1"/>
  <c r="E25" i="1"/>
  <c r="D25" i="1"/>
  <c r="M23" i="1"/>
  <c r="H47" i="1" s="1"/>
  <c r="L23" i="1"/>
  <c r="G47" i="1" s="1"/>
  <c r="I23" i="1"/>
  <c r="M22" i="1"/>
  <c r="H46" i="1" s="1"/>
  <c r="L22" i="1"/>
  <c r="G46" i="1" s="1"/>
  <c r="I22" i="1"/>
  <c r="M21" i="1"/>
  <c r="H45" i="1" s="1"/>
  <c r="L21" i="1"/>
  <c r="G45" i="1" s="1"/>
  <c r="K21" i="1"/>
  <c r="F45" i="1" s="1"/>
  <c r="J21" i="1"/>
  <c r="E45" i="1" s="1"/>
  <c r="I21" i="1"/>
  <c r="M20" i="1"/>
  <c r="H44" i="1" s="1"/>
  <c r="L20" i="1"/>
  <c r="G44" i="1" s="1"/>
  <c r="K20" i="1"/>
  <c r="F44" i="1" s="1"/>
  <c r="J20" i="1"/>
  <c r="E44" i="1" s="1"/>
  <c r="I20" i="1"/>
  <c r="M19" i="1"/>
  <c r="H43" i="1" s="1"/>
  <c r="L19" i="1"/>
  <c r="G43" i="1" s="1"/>
  <c r="K19" i="1"/>
  <c r="F43" i="1" s="1"/>
  <c r="J19" i="1"/>
  <c r="E43" i="1" s="1"/>
  <c r="I19" i="1"/>
  <c r="I18" i="1"/>
  <c r="M17" i="1"/>
  <c r="H41" i="1" s="1"/>
  <c r="I17" i="1"/>
  <c r="M16" i="1"/>
  <c r="H40" i="1" s="1"/>
  <c r="I16" i="1"/>
  <c r="M15" i="1"/>
  <c r="H39" i="1" s="1"/>
  <c r="I15" i="1"/>
  <c r="I14" i="1"/>
  <c r="M13" i="1"/>
  <c r="H37" i="1" s="1"/>
  <c r="I13" i="1"/>
  <c r="M11" i="1"/>
  <c r="L11" i="1"/>
  <c r="K11" i="1"/>
  <c r="J11" i="1"/>
  <c r="K13" i="1" l="1"/>
  <c r="F37" i="1" s="1"/>
  <c r="K22" i="1"/>
  <c r="F46" i="1" s="1"/>
  <c r="K12" i="1"/>
  <c r="F36" i="1" s="1"/>
  <c r="K17" i="1"/>
  <c r="F41" i="1" s="1"/>
  <c r="K15" i="1"/>
  <c r="F39" i="1" s="1"/>
  <c r="K16" i="1"/>
  <c r="F40" i="1" s="1"/>
  <c r="J23" i="1"/>
  <c r="E47" i="1" s="1"/>
  <c r="J17" i="1"/>
  <c r="E41" i="1" s="1"/>
  <c r="J22" i="1"/>
  <c r="E46" i="1" s="1"/>
  <c r="J13" i="1"/>
  <c r="J14" i="1"/>
  <c r="K23" i="1"/>
  <c r="F47" i="1" s="1"/>
  <c r="J15" i="1"/>
  <c r="K14" i="1"/>
  <c r="F38" i="1" s="1"/>
  <c r="J18" i="1"/>
  <c r="K18" i="1"/>
  <c r="F42" i="1" s="1"/>
  <c r="J16" i="1"/>
  <c r="F55" i="1" l="1"/>
  <c r="F65" i="1"/>
  <c r="F61" i="1"/>
  <c r="F64" i="1"/>
  <c r="F60" i="1"/>
  <c r="F53" i="1"/>
  <c r="F63" i="1"/>
  <c r="F62" i="1"/>
  <c r="F54" i="1"/>
  <c r="F49" i="1"/>
  <c r="F56" i="1"/>
  <c r="L17" i="1"/>
  <c r="G41" i="1" s="1"/>
  <c r="L18" i="1"/>
  <c r="G42" i="1" s="1"/>
  <c r="E42" i="1"/>
  <c r="L14" i="1"/>
  <c r="G38" i="1" s="1"/>
  <c r="E38" i="1"/>
  <c r="L16" i="1"/>
  <c r="G40" i="1" s="1"/>
  <c r="E40" i="1"/>
  <c r="L13" i="1"/>
  <c r="G37" i="1" s="1"/>
  <c r="G55" i="1" s="1"/>
  <c r="E37" i="1"/>
  <c r="E49" i="1" s="1"/>
  <c r="L15" i="1"/>
  <c r="G39" i="1" s="1"/>
  <c r="E39" i="1"/>
  <c r="P21" i="1"/>
  <c r="P11" i="1"/>
  <c r="K25" i="1"/>
  <c r="P22" i="1"/>
  <c r="P12" i="1"/>
  <c r="P16" i="1"/>
  <c r="P17" i="1"/>
  <c r="L12" i="1"/>
  <c r="G36" i="1" s="1"/>
  <c r="J25" i="1"/>
  <c r="E55" i="1" l="1"/>
  <c r="E56" i="1"/>
  <c r="E54" i="1"/>
  <c r="G49" i="1"/>
  <c r="G56" i="1"/>
  <c r="G54" i="1"/>
  <c r="E62" i="1"/>
  <c r="E65" i="1"/>
  <c r="E61" i="1"/>
  <c r="E64" i="1"/>
  <c r="E60" i="1"/>
  <c r="E53" i="1"/>
  <c r="E63" i="1"/>
  <c r="G64" i="1"/>
  <c r="G60" i="1"/>
  <c r="G53" i="1"/>
  <c r="G63" i="1"/>
  <c r="G62" i="1"/>
  <c r="G65" i="1"/>
  <c r="G61" i="1"/>
  <c r="P23" i="1"/>
  <c r="M18" i="1"/>
  <c r="H42" i="1" s="1"/>
  <c r="M14" i="1"/>
  <c r="M12" i="1"/>
  <c r="L25" i="1"/>
  <c r="P13" i="1"/>
  <c r="P18" i="1"/>
  <c r="P24" i="1" l="1"/>
  <c r="H38" i="1"/>
  <c r="P19" i="1"/>
  <c r="H36" i="1"/>
  <c r="M25" i="1"/>
  <c r="P14" i="1"/>
  <c r="H63" i="1" l="1"/>
  <c r="H56" i="1"/>
  <c r="H65" i="1"/>
  <c r="H61" i="1"/>
  <c r="H54" i="1"/>
  <c r="H49" i="1"/>
  <c r="H64" i="1"/>
  <c r="H62" i="1"/>
  <c r="H53" i="1"/>
  <c r="H55" i="1"/>
  <c r="H60" i="1"/>
  <c r="P27" i="1"/>
  <c r="P28" i="1"/>
  <c r="P29" i="1"/>
  <c r="P30" i="1" l="1"/>
  <c r="K30" i="1" s="1"/>
  <c r="L30" i="1" s="1"/>
  <c r="L35" i="1" s="1"/>
  <c r="L38" i="1" s="1"/>
  <c r="K28" i="1" l="1"/>
  <c r="L28" i="1" s="1"/>
  <c r="J35" i="1" s="1"/>
  <c r="L43" i="1"/>
  <c r="L47" i="1"/>
  <c r="L45" i="1"/>
  <c r="L36" i="1"/>
  <c r="L39" i="1"/>
  <c r="K29" i="1"/>
  <c r="L29" i="1" s="1"/>
  <c r="K35" i="1" s="1"/>
  <c r="K44" i="1" s="1"/>
  <c r="L42" i="1"/>
  <c r="L41" i="1"/>
  <c r="L46" i="1"/>
  <c r="L27" i="1"/>
  <c r="I35" i="1" s="1"/>
  <c r="I36" i="1" s="1"/>
  <c r="L44" i="1"/>
  <c r="L40" i="1"/>
  <c r="L37" i="1"/>
  <c r="L55" i="1" s="1"/>
  <c r="K41" i="1"/>
  <c r="K42" i="1"/>
  <c r="J45" i="1"/>
  <c r="J44" i="1"/>
  <c r="J43" i="1"/>
  <c r="J38" i="1"/>
  <c r="J40" i="1"/>
  <c r="J46" i="1"/>
  <c r="J39" i="1"/>
  <c r="J37" i="1"/>
  <c r="J42" i="1"/>
  <c r="J41" i="1"/>
  <c r="J47" i="1"/>
  <c r="J36" i="1"/>
  <c r="K31" i="1"/>
  <c r="I42" i="1" l="1"/>
  <c r="I38" i="1"/>
  <c r="I46" i="1"/>
  <c r="I41" i="1"/>
  <c r="M41" i="1" s="1"/>
  <c r="L64" i="1"/>
  <c r="I37" i="1"/>
  <c r="I55" i="1" s="1"/>
  <c r="I40" i="1"/>
  <c r="I43" i="1"/>
  <c r="M43" i="1" s="1"/>
  <c r="I39" i="1"/>
  <c r="I61" i="1" s="1"/>
  <c r="I47" i="1"/>
  <c r="I45" i="1"/>
  <c r="I44" i="1"/>
  <c r="M44" i="1" s="1"/>
  <c r="L65" i="1"/>
  <c r="K43" i="1"/>
  <c r="L54" i="1"/>
  <c r="L31" i="1"/>
  <c r="K36" i="1"/>
  <c r="M36" i="1" s="1"/>
  <c r="K47" i="1"/>
  <c r="K46" i="1"/>
  <c r="M46" i="1" s="1"/>
  <c r="L63" i="1"/>
  <c r="L62" i="1"/>
  <c r="J56" i="1"/>
  <c r="J54" i="1"/>
  <c r="J49" i="1"/>
  <c r="J55" i="1"/>
  <c r="K38" i="1"/>
  <c r="M38" i="1" s="1"/>
  <c r="K39" i="1"/>
  <c r="K45" i="1"/>
  <c r="L56" i="1"/>
  <c r="L53" i="1"/>
  <c r="L61" i="1"/>
  <c r="I54" i="1"/>
  <c r="I56" i="1"/>
  <c r="J63" i="1"/>
  <c r="J64" i="1"/>
  <c r="J60" i="1"/>
  <c r="J53" i="1"/>
  <c r="J62" i="1"/>
  <c r="J65" i="1"/>
  <c r="J61" i="1"/>
  <c r="K37" i="1"/>
  <c r="K55" i="1" s="1"/>
  <c r="K40" i="1"/>
  <c r="L49" i="1"/>
  <c r="L60" i="1"/>
  <c r="M42" i="1"/>
  <c r="M47" i="1"/>
  <c r="I62" i="1" l="1"/>
  <c r="I49" i="1"/>
  <c r="M39" i="1"/>
  <c r="I64" i="1"/>
  <c r="M45" i="1"/>
  <c r="N45" i="1" s="1"/>
  <c r="M40" i="1"/>
  <c r="N40" i="1" s="1"/>
  <c r="I65" i="1"/>
  <c r="I53" i="1"/>
  <c r="I63" i="1"/>
  <c r="I60" i="1"/>
  <c r="N46" i="1"/>
  <c r="N47" i="1"/>
  <c r="K64" i="1"/>
  <c r="K60" i="1"/>
  <c r="K53" i="1"/>
  <c r="K65" i="1"/>
  <c r="K61" i="1"/>
  <c r="K62" i="1"/>
  <c r="K63" i="1"/>
  <c r="M37" i="1"/>
  <c r="K54" i="1"/>
  <c r="K49" i="1"/>
  <c r="K56" i="1"/>
  <c r="N43" i="1"/>
  <c r="N44" i="1"/>
  <c r="N39" i="1"/>
  <c r="N41" i="1"/>
  <c r="N38" i="1"/>
  <c r="N36" i="1"/>
  <c r="M62" i="1" l="1"/>
  <c r="M61" i="1"/>
  <c r="M53" i="1"/>
  <c r="M65" i="1"/>
  <c r="M60" i="1"/>
  <c r="M63" i="1"/>
  <c r="M64" i="1"/>
  <c r="M55" i="1"/>
  <c r="N37" i="1"/>
  <c r="N55" i="1" s="1"/>
  <c r="M54" i="1"/>
  <c r="M56" i="1"/>
  <c r="M49" i="1"/>
  <c r="N62" i="1" l="1"/>
  <c r="N63" i="1"/>
  <c r="N53" i="1"/>
  <c r="N61" i="1"/>
  <c r="N60" i="1"/>
  <c r="N49" i="1"/>
  <c r="N54" i="1"/>
  <c r="N65" i="1"/>
  <c r="N64" i="1"/>
  <c r="N56" i="1"/>
</calcChain>
</file>

<file path=xl/sharedStrings.xml><?xml version="1.0" encoding="utf-8"?>
<sst xmlns="http://schemas.openxmlformats.org/spreadsheetml/2006/main" count="79" uniqueCount="60">
  <si>
    <t>2.6 Cálculo con cuatro materias primas componentes del crudo</t>
  </si>
  <si>
    <t>SM</t>
  </si>
  <si>
    <t>silicatos</t>
  </si>
  <si>
    <t>MS</t>
  </si>
  <si>
    <t>silisico</t>
  </si>
  <si>
    <t>TM</t>
  </si>
  <si>
    <t>fudentes,alumina</t>
  </si>
  <si>
    <t>KSK</t>
  </si>
  <si>
    <t>kind</t>
  </si>
  <si>
    <t>→</t>
  </si>
  <si>
    <t>M.P. 1</t>
  </si>
  <si>
    <t>M.P.2</t>
  </si>
  <si>
    <t>M.P. 3</t>
  </si>
  <si>
    <t>M.P. 4</t>
  </si>
  <si>
    <t>SiO2</t>
  </si>
  <si>
    <t>Al2O3</t>
  </si>
  <si>
    <t>Fe2O3</t>
  </si>
  <si>
    <t>CaO</t>
  </si>
  <si>
    <t>MgO</t>
  </si>
  <si>
    <t>SO3</t>
  </si>
  <si>
    <t>P.C.</t>
  </si>
  <si>
    <t>Resto</t>
  </si>
  <si>
    <t>TiO2</t>
  </si>
  <si>
    <t>Mn2O3</t>
  </si>
  <si>
    <t>Na2O</t>
  </si>
  <si>
    <t>K2O</t>
  </si>
  <si>
    <t>total</t>
  </si>
  <si>
    <t>a1=</t>
  </si>
  <si>
    <t>b1=</t>
  </si>
  <si>
    <t>c1=</t>
  </si>
  <si>
    <t>d1=</t>
  </si>
  <si>
    <t>a2=</t>
  </si>
  <si>
    <t>b2=</t>
  </si>
  <si>
    <t>c2=</t>
  </si>
  <si>
    <t>d2=</t>
  </si>
  <si>
    <t>a3=</t>
  </si>
  <si>
    <t>b3=</t>
  </si>
  <si>
    <t>c3=</t>
  </si>
  <si>
    <t>d3=</t>
  </si>
  <si>
    <t>X=</t>
  </si>
  <si>
    <t>Y=</t>
  </si>
  <si>
    <t>Z=</t>
  </si>
  <si>
    <t>←</t>
  </si>
  <si>
    <t>M.P. 1=</t>
  </si>
  <si>
    <t>M.P. 2=</t>
  </si>
  <si>
    <t>M.P. 3=</t>
  </si>
  <si>
    <t>M.P. 4=</t>
  </si>
  <si>
    <t>W=</t>
  </si>
  <si>
    <t>CRUDO</t>
  </si>
  <si>
    <t>CLINKER</t>
  </si>
  <si>
    <t>%</t>
  </si>
  <si>
    <t>MÓDULOS</t>
  </si>
  <si>
    <t>MH</t>
  </si>
  <si>
    <t>FÒRMULAS PARA LA CAL (factor de saturación)</t>
  </si>
  <si>
    <t>KSG</t>
  </si>
  <si>
    <t>KSt</t>
  </si>
  <si>
    <t>KSt I</t>
  </si>
  <si>
    <t>KSt II</t>
  </si>
  <si>
    <t>LSF</t>
  </si>
  <si>
    <t>EAGL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</si>
</sst>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11" fillId="7" borderId="1" xfId="0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5" fontId="11" fillId="8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5" fontId="11" fillId="9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" fillId="0" borderId="1" xfId="0" applyNumberFormat="1" applyFont="1" applyBorder="1"/>
    <xf numFmtId="165" fontId="11" fillId="0" borderId="1" xfId="0" applyNumberFormat="1" applyFont="1" applyBorder="1"/>
    <xf numFmtId="165" fontId="7" fillId="0" borderId="0" xfId="0" applyNumberFormat="1" applyFont="1"/>
    <xf numFmtId="165" fontId="0" fillId="0" borderId="0" xfId="0" applyNumberFormat="1" applyAlignment="1">
      <alignment horizontal="center" vertical="center"/>
    </xf>
    <xf numFmtId="165" fontId="0" fillId="11" borderId="0" xfId="0" applyNumberFormat="1" applyFill="1" applyAlignment="1">
      <alignment horizontal="center" vertical="center"/>
    </xf>
    <xf numFmtId="165" fontId="3" fillId="12" borderId="0" xfId="0" applyNumberFormat="1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165" fontId="3" fillId="13" borderId="0" xfId="0" applyNumberFormat="1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14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0" fillId="11" borderId="1" xfId="0" applyNumberFormat="1" applyFill="1" applyBorder="1" applyAlignment="1">
      <alignment horizontal="center" vertical="center"/>
    </xf>
    <xf numFmtId="165" fontId="3" fillId="1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743416</xdr:colOff>
      <xdr:row>34</xdr:row>
      <xdr:rowOff>136114</xdr:rowOff>
    </xdr:from>
    <xdr:to>
      <xdr:col>4</xdr:col>
      <xdr:colOff>13404</xdr:colOff>
      <xdr:row>47</xdr:row>
      <xdr:rowOff>62845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EDEE3E-83E7-4C8D-B0C5-399D56E05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605" t="36146" r="51254" b="30963"/>
        <a:stretch/>
      </xdr:blipFill>
      <xdr:spPr>
        <a:xfrm>
          <a:off x="2276709" y="6338980"/>
          <a:ext cx="803280" cy="234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1AE6-4E82-4C72-B2BB-01FD68501136}">
  <dimension ref="B2:P65"/>
  <sheetViews>
    <sheetView tabSelected="1" topLeftCell="A16" zoomScale="82" zoomScaleNormal="82" workbookViewId="0">
      <selection activeCell="H30" sqref="H30"/>
    </sheetView>
  </sheetViews>
  <sheetFormatPr baseColWidth="10" defaultRowHeight="15" x14ac:dyDescent="0.25"/>
  <sheetData>
    <row r="2" spans="2:16" ht="18.75" x14ac:dyDescent="0.3">
      <c r="B2" s="47" t="s">
        <v>59</v>
      </c>
      <c r="C2" s="47"/>
      <c r="D2" s="47"/>
    </row>
    <row r="3" spans="2:16" x14ac:dyDescent="0.25">
      <c r="B3" s="46" t="s">
        <v>0</v>
      </c>
      <c r="C3" s="46"/>
      <c r="D3" s="46"/>
      <c r="E3" s="46"/>
      <c r="F3" s="46"/>
      <c r="G3" s="46"/>
      <c r="H3" s="46"/>
      <c r="I3" s="46"/>
      <c r="J3" s="46"/>
    </row>
    <row r="4" spans="2:16" ht="18.75" customHeight="1" x14ac:dyDescent="0.25">
      <c r="B4" s="46"/>
      <c r="C4" s="46"/>
      <c r="D4" s="46"/>
      <c r="E4" s="46"/>
      <c r="F4" s="46"/>
      <c r="G4" s="46"/>
      <c r="H4" s="46"/>
      <c r="I4" s="46"/>
      <c r="J4" s="46"/>
    </row>
    <row r="5" spans="2:16" x14ac:dyDescent="0.25">
      <c r="M5" s="3" t="s">
        <v>9</v>
      </c>
    </row>
    <row r="6" spans="2:16" x14ac:dyDescent="0.25">
      <c r="C6" s="6" t="s">
        <v>1</v>
      </c>
      <c r="D6" s="7" t="s">
        <v>2</v>
      </c>
      <c r="E6" s="7"/>
      <c r="G6" s="6" t="s">
        <v>7</v>
      </c>
      <c r="H6" s="10">
        <v>0.85</v>
      </c>
    </row>
    <row r="7" spans="2:16" ht="15.75" customHeight="1" x14ac:dyDescent="0.25">
      <c r="C7" s="6" t="s">
        <v>3</v>
      </c>
      <c r="D7" s="7" t="s">
        <v>4</v>
      </c>
      <c r="E7" s="7"/>
      <c r="F7" s="4" t="s">
        <v>9</v>
      </c>
      <c r="G7" s="9" t="s">
        <v>1</v>
      </c>
      <c r="H7" s="10">
        <v>3</v>
      </c>
      <c r="I7" s="18" t="str">
        <f>IF(G7="SM",D6,IF(G7="MS",D7,"INGRESAR MS O SM"))</f>
        <v>silicatos</v>
      </c>
    </row>
    <row r="8" spans="2:16" x14ac:dyDescent="0.25">
      <c r="C8" s="6" t="s">
        <v>5</v>
      </c>
      <c r="D8" s="7" t="s">
        <v>6</v>
      </c>
      <c r="E8" s="7"/>
      <c r="F8" s="4"/>
      <c r="G8" s="6" t="s">
        <v>5</v>
      </c>
      <c r="H8" s="10">
        <v>2</v>
      </c>
    </row>
    <row r="9" spans="2:16" x14ac:dyDescent="0.25">
      <c r="C9" s="6" t="s">
        <v>7</v>
      </c>
      <c r="D9" s="7" t="s">
        <v>8</v>
      </c>
      <c r="E9" s="7"/>
    </row>
    <row r="11" spans="2:16" x14ac:dyDescent="0.25">
      <c r="C11" s="1"/>
      <c r="D11" s="14" t="s">
        <v>10</v>
      </c>
      <c r="E11" s="14" t="s">
        <v>11</v>
      </c>
      <c r="F11" s="14" t="s">
        <v>12</v>
      </c>
      <c r="G11" s="14" t="s">
        <v>13</v>
      </c>
      <c r="H11" s="1"/>
      <c r="I11" s="1"/>
      <c r="J11" s="16" t="str">
        <f t="shared" ref="J11:M11" si="0">D11</f>
        <v>M.P. 1</v>
      </c>
      <c r="K11" s="16" t="str">
        <f t="shared" si="0"/>
        <v>M.P.2</v>
      </c>
      <c r="L11" s="16" t="str">
        <f t="shared" si="0"/>
        <v>M.P. 3</v>
      </c>
      <c r="M11" s="16" t="str">
        <f t="shared" si="0"/>
        <v>M.P. 4</v>
      </c>
      <c r="O11" s="19" t="s">
        <v>27</v>
      </c>
      <c r="P11" s="20">
        <f>(2.8*H6*J12+1.65*J13+0.35*J14)-J15</f>
        <v>-41.465200000000003</v>
      </c>
    </row>
    <row r="12" spans="2:16" x14ac:dyDescent="0.25">
      <c r="C12" s="12" t="s">
        <v>14</v>
      </c>
      <c r="D12" s="8">
        <v>3.76</v>
      </c>
      <c r="E12" s="8">
        <v>52.3</v>
      </c>
      <c r="F12" s="8">
        <v>10</v>
      </c>
      <c r="G12" s="8">
        <v>99.2</v>
      </c>
      <c r="H12" s="1"/>
      <c r="I12" s="12" t="str">
        <f>C12</f>
        <v>SiO2</v>
      </c>
      <c r="J12" s="17">
        <f>IF(D12=0,0,IF($D$36&lt;100,(IF(I12="Resto",D12+100-$D$36,D12)),IF($D$36&gt;100,D12-((D12*($D$36-100))/($D$36)),D12)))</f>
        <v>3.76</v>
      </c>
      <c r="K12" s="17">
        <f t="shared" ref="K12:K23" si="1">IF(E12=0,0,IF($E$36&lt;100,(IF(I12="Resto",E12+100-$E$36,E12)),IF($E$36&gt;100,E12-((E12*($E$36-100))/($E$36)),E12)))</f>
        <v>52.3</v>
      </c>
      <c r="L12" s="17">
        <f t="shared" ref="L12:L23" si="2">IF(F12=0,0,IF($F$36&lt;100,(IF(J12="Resto",F12+100-$F$36,F12)),IF($F$36&gt;100,F12-((F12*($F$36-100))/($F$36)),F12)))</f>
        <v>10</v>
      </c>
      <c r="M12" s="17">
        <f t="shared" ref="M12:M23" si="3">IF(G12=0,0,IF($G$36&lt;100,(IF(I12="Resto",G12+100-$G$36,G12)),IF($G$36&gt;100,G12-((G12*($G$36-100))/($G$36)),G12)))</f>
        <v>99.2</v>
      </c>
      <c r="O12" s="19" t="s">
        <v>28</v>
      </c>
      <c r="P12" s="20">
        <f>(2.8*H6*K12+1.65*K13+0.35*K14)-K15</f>
        <v>161.91399999999999</v>
      </c>
    </row>
    <row r="13" spans="2:16" x14ac:dyDescent="0.25">
      <c r="C13" s="12" t="s">
        <v>15</v>
      </c>
      <c r="D13" s="8">
        <v>1.1000000000000001</v>
      </c>
      <c r="E13" s="8">
        <v>24.7</v>
      </c>
      <c r="F13" s="8">
        <v>8</v>
      </c>
      <c r="G13" s="8">
        <v>0</v>
      </c>
      <c r="H13" s="1"/>
      <c r="I13" s="12" t="str">
        <f t="shared" ref="I13:I23" si="4">C13</f>
        <v>Al2O3</v>
      </c>
      <c r="J13" s="17">
        <f>IF(D13=0,0,IF($D$36&lt;100,(IF(I13="Resto",D13+100-$D$36,D13)),IF($D$36&gt;100,D13-((D13*($D$36-100))/($D$36)),D13)))</f>
        <v>1.1000000000000001</v>
      </c>
      <c r="K13" s="17">
        <f t="shared" si="1"/>
        <v>24.7</v>
      </c>
      <c r="L13" s="17">
        <f t="shared" si="2"/>
        <v>8</v>
      </c>
      <c r="M13" s="17">
        <f t="shared" si="3"/>
        <v>0</v>
      </c>
      <c r="O13" s="19" t="s">
        <v>29</v>
      </c>
      <c r="P13" s="20">
        <f>(2.8*H6*L12+1.65*L13+0.35*L14)-L15</f>
        <v>62.66</v>
      </c>
    </row>
    <row r="14" spans="2:16" x14ac:dyDescent="0.25">
      <c r="C14" s="12" t="s">
        <v>16</v>
      </c>
      <c r="D14" s="8">
        <v>0.66</v>
      </c>
      <c r="E14" s="8">
        <v>3.1</v>
      </c>
      <c r="F14" s="8">
        <v>75.599999999999994</v>
      </c>
      <c r="G14" s="8">
        <v>0.6</v>
      </c>
      <c r="H14" s="1"/>
      <c r="I14" s="12" t="str">
        <f t="shared" si="4"/>
        <v>Fe2O3</v>
      </c>
      <c r="J14" s="17">
        <f>IF(D14=0,0,IF($D$36&lt;100,(IF(I14="Resto",D14+100-$D$36,D14)),IF($D$36&gt;100,D14-((D14*($D$36-100))/($D$36)),D14)))</f>
        <v>0.66</v>
      </c>
      <c r="K14" s="17">
        <f t="shared" si="1"/>
        <v>3.1</v>
      </c>
      <c r="L14" s="17">
        <f t="shared" si="2"/>
        <v>75.599999999999994</v>
      </c>
      <c r="M14" s="17">
        <f t="shared" si="3"/>
        <v>0.6</v>
      </c>
      <c r="O14" s="19" t="s">
        <v>30</v>
      </c>
      <c r="P14" s="20">
        <f>-(2.8*H6*M12+1.65*M13+0.35*M14)+M15</f>
        <v>-236.30600000000001</v>
      </c>
    </row>
    <row r="15" spans="2:16" x14ac:dyDescent="0.25">
      <c r="C15" s="12" t="s">
        <v>17</v>
      </c>
      <c r="D15" s="8">
        <v>52.46</v>
      </c>
      <c r="E15" s="8">
        <v>4.4000000000000004</v>
      </c>
      <c r="F15" s="8">
        <v>0.8</v>
      </c>
      <c r="G15" s="8">
        <v>0</v>
      </c>
      <c r="H15" s="1"/>
      <c r="I15" s="12" t="str">
        <f t="shared" si="4"/>
        <v>CaO</v>
      </c>
      <c r="J15" s="17">
        <f>IF(D15=0,0,IF($D$36&lt;100,(IF(I15="Resto",D15+100-$D$36,D15)),IF($D$36&gt;100,D15-((D15*($D$36-100))/($D$36)),D15)))</f>
        <v>52.46</v>
      </c>
      <c r="K15" s="17">
        <f t="shared" si="1"/>
        <v>4.4000000000000004</v>
      </c>
      <c r="L15" s="17">
        <f t="shared" si="2"/>
        <v>0.8</v>
      </c>
      <c r="M15" s="17">
        <f t="shared" si="3"/>
        <v>0</v>
      </c>
      <c r="O15" s="13"/>
      <c r="P15" s="21"/>
    </row>
    <row r="16" spans="2:16" x14ac:dyDescent="0.25">
      <c r="C16" s="12" t="s">
        <v>18</v>
      </c>
      <c r="D16" s="8">
        <v>1.23</v>
      </c>
      <c r="E16" s="8">
        <v>0.1</v>
      </c>
      <c r="F16" s="8">
        <v>1.5</v>
      </c>
      <c r="G16" s="8">
        <v>0</v>
      </c>
      <c r="H16" s="4" t="s">
        <v>9</v>
      </c>
      <c r="I16" s="12" t="str">
        <f t="shared" si="4"/>
        <v>MgO</v>
      </c>
      <c r="J16" s="17">
        <f>IF(D16=0,0,IF($D$36&lt;100,(IF(I16="Resto",D16+100-$D$36,D16)),IF($D$36&gt;100,D16-((D16*($D$36-100))/($D$36)),D16)))</f>
        <v>1.23</v>
      </c>
      <c r="K16" s="17">
        <f t="shared" si="1"/>
        <v>0.1</v>
      </c>
      <c r="L16" s="17">
        <f t="shared" si="2"/>
        <v>1.5</v>
      </c>
      <c r="M16" s="17">
        <f t="shared" si="3"/>
        <v>0</v>
      </c>
      <c r="N16" s="4" t="s">
        <v>9</v>
      </c>
      <c r="O16" s="22" t="s">
        <v>31</v>
      </c>
      <c r="P16" s="23">
        <f>IF(G7="SM",H7*(J13+J14)-J12,IF(G7="MS",H7*J13-J12,"ERROR"))</f>
        <v>1.5200000000000014</v>
      </c>
    </row>
    <row r="17" spans="3:16" x14ac:dyDescent="0.25">
      <c r="C17" s="12" t="s">
        <v>19</v>
      </c>
      <c r="D17" s="8">
        <v>0.01</v>
      </c>
      <c r="E17" s="8">
        <v>1.1000000000000001</v>
      </c>
      <c r="F17" s="8">
        <v>4</v>
      </c>
      <c r="G17" s="8">
        <v>0</v>
      </c>
      <c r="H17" s="4"/>
      <c r="I17" s="12" t="str">
        <f t="shared" si="4"/>
        <v>SO3</v>
      </c>
      <c r="J17" s="17">
        <f>IF(D17=0,0,IF($D$36&lt;100,(IF(I17="Resto",D17+100-$D$36,D17)),IF($D$36&gt;100,D17-((D17*($D$36-100))/($D$36)),D17)))</f>
        <v>0.01</v>
      </c>
      <c r="K17" s="17">
        <f t="shared" si="1"/>
        <v>1.1000000000000001</v>
      </c>
      <c r="L17" s="17">
        <f t="shared" si="2"/>
        <v>4</v>
      </c>
      <c r="M17" s="17">
        <f t="shared" si="3"/>
        <v>0</v>
      </c>
      <c r="N17" s="4"/>
      <c r="O17" s="22" t="s">
        <v>32</v>
      </c>
      <c r="P17" s="23">
        <f>IF(G7="SM",H7*(K13+K14)-K12,IF(G7="MS",H7*K13-K12,"ERROR"))</f>
        <v>31.100000000000009</v>
      </c>
    </row>
    <row r="18" spans="3:16" x14ac:dyDescent="0.25">
      <c r="C18" s="12" t="s">
        <v>20</v>
      </c>
      <c r="D18" s="8">
        <v>40.380000000000003</v>
      </c>
      <c r="E18" s="8">
        <v>13.5</v>
      </c>
      <c r="F18" s="8">
        <v>0.1</v>
      </c>
      <c r="G18" s="8">
        <v>0.2</v>
      </c>
      <c r="H18" s="1"/>
      <c r="I18" s="12" t="str">
        <f t="shared" si="4"/>
        <v>P.C.</v>
      </c>
      <c r="J18" s="17">
        <f>IF(D18=0,0,IF($D$36&lt;100,(IF(I18="Resto",D18+100-$D$36,D18)),IF($D$36&gt;100,D18-((D18*($D$36-100))/($D$36)),D18)))</f>
        <v>40.380000000000003</v>
      </c>
      <c r="K18" s="17">
        <f t="shared" si="1"/>
        <v>13.5</v>
      </c>
      <c r="L18" s="17">
        <f t="shared" si="2"/>
        <v>0.1</v>
      </c>
      <c r="M18" s="17">
        <f t="shared" si="3"/>
        <v>0.2</v>
      </c>
      <c r="O18" s="22" t="s">
        <v>33</v>
      </c>
      <c r="P18" s="23">
        <f>IF(G7="SM",H7*(L13+L14)-L12,IF(G7="MS",H7*L13-L12,"ERROR"))</f>
        <v>240.79999999999998</v>
      </c>
    </row>
    <row r="19" spans="3:16" x14ac:dyDescent="0.25">
      <c r="C19" s="12" t="s">
        <v>21</v>
      </c>
      <c r="D19" s="8">
        <v>0</v>
      </c>
      <c r="E19" s="8">
        <v>0</v>
      </c>
      <c r="F19" s="8">
        <v>0</v>
      </c>
      <c r="G19" s="8">
        <v>0</v>
      </c>
      <c r="H19" s="1"/>
      <c r="I19" s="12" t="str">
        <f t="shared" si="4"/>
        <v>Resto</v>
      </c>
      <c r="J19" s="17">
        <f>IF(D19=0,0,IF($D$36&lt;100,(IF(I19="Resto",D19+100-$D$36,D19)),IF($D$36&gt;100,D19-((D19*($D$36-100))/($D$36)),D19)))</f>
        <v>0</v>
      </c>
      <c r="K19" s="17">
        <f t="shared" si="1"/>
        <v>0</v>
      </c>
      <c r="L19" s="17">
        <f t="shared" si="2"/>
        <v>0</v>
      </c>
      <c r="M19" s="17">
        <f t="shared" si="3"/>
        <v>0</v>
      </c>
      <c r="O19" s="22" t="s">
        <v>34</v>
      </c>
      <c r="P19" s="23">
        <f>-IF(G7="SM",H7*(M13+M14)-M12,IF(G7="MS",H7*M13-M12,"ERROR"))</f>
        <v>97.4</v>
      </c>
    </row>
    <row r="20" spans="3:16" x14ac:dyDescent="0.25">
      <c r="C20" s="12" t="s">
        <v>22</v>
      </c>
      <c r="D20" s="8">
        <v>0</v>
      </c>
      <c r="E20" s="8">
        <v>0</v>
      </c>
      <c r="F20" s="8">
        <v>0</v>
      </c>
      <c r="G20" s="8">
        <v>0</v>
      </c>
      <c r="H20" s="1"/>
      <c r="I20" s="12" t="str">
        <f t="shared" si="4"/>
        <v>TiO2</v>
      </c>
      <c r="J20" s="17">
        <f>IF(D20=0,0,IF($D$36&lt;100,(IF(I20="Resto",D20+100-$D$36,D20)),IF($D$36&gt;100,D20-((D20*($D$36-100))/($D$36)),D20)))</f>
        <v>0</v>
      </c>
      <c r="K20" s="17">
        <f t="shared" si="1"/>
        <v>0</v>
      </c>
      <c r="L20" s="17">
        <f t="shared" si="2"/>
        <v>0</v>
      </c>
      <c r="M20" s="17">
        <f t="shared" si="3"/>
        <v>0</v>
      </c>
      <c r="O20" s="13"/>
      <c r="P20" s="21"/>
    </row>
    <row r="21" spans="3:16" x14ac:dyDescent="0.25">
      <c r="C21" s="12" t="s">
        <v>23</v>
      </c>
      <c r="D21" s="8">
        <v>0</v>
      </c>
      <c r="E21" s="8">
        <v>0</v>
      </c>
      <c r="F21" s="8">
        <v>0</v>
      </c>
      <c r="G21" s="8">
        <v>0</v>
      </c>
      <c r="H21" s="1"/>
      <c r="I21" s="12" t="str">
        <f t="shared" si="4"/>
        <v>Mn2O3</v>
      </c>
      <c r="J21" s="17">
        <f>IF(D21=0,0,IF($D$36&lt;100,(IF(I21="Resto",D21+100-$D$36,D21)),IF($D$36&gt;100,D21-((D21*($D$36-100))/($D$36)),D21)))</f>
        <v>0</v>
      </c>
      <c r="K21" s="17">
        <f t="shared" si="1"/>
        <v>0</v>
      </c>
      <c r="L21" s="17">
        <f t="shared" si="2"/>
        <v>0</v>
      </c>
      <c r="M21" s="17">
        <f t="shared" si="3"/>
        <v>0</v>
      </c>
      <c r="O21" s="24" t="s">
        <v>35</v>
      </c>
      <c r="P21" s="25">
        <f>H8*J14-J13</f>
        <v>0.21999999999999997</v>
      </c>
    </row>
    <row r="22" spans="3:16" x14ac:dyDescent="0.25">
      <c r="C22" s="12" t="s">
        <v>24</v>
      </c>
      <c r="D22" s="8">
        <v>0.22</v>
      </c>
      <c r="E22" s="8">
        <v>0.5</v>
      </c>
      <c r="F22" s="8">
        <v>0</v>
      </c>
      <c r="G22" s="8">
        <v>0</v>
      </c>
      <c r="H22" s="1"/>
      <c r="I22" s="12" t="str">
        <f t="shared" si="4"/>
        <v>Na2O</v>
      </c>
      <c r="J22" s="17">
        <f>IF(D22=0,0,IF($D$36&lt;100,(IF(I22="Resto",D22+100-$D$36,D22)),IF($D$36&gt;100,D22-((D22*($D$36-100))/($D$36)),D22)))</f>
        <v>0.22</v>
      </c>
      <c r="K22" s="17">
        <f t="shared" si="1"/>
        <v>0.5</v>
      </c>
      <c r="L22" s="17">
        <f t="shared" si="2"/>
        <v>0</v>
      </c>
      <c r="M22" s="17">
        <f t="shared" si="3"/>
        <v>0</v>
      </c>
      <c r="O22" s="24" t="s">
        <v>36</v>
      </c>
      <c r="P22" s="25">
        <f>H8*K14-K13</f>
        <v>-18.5</v>
      </c>
    </row>
    <row r="23" spans="3:16" x14ac:dyDescent="0.25">
      <c r="C23" s="12" t="s">
        <v>25</v>
      </c>
      <c r="D23" s="8">
        <v>0.18</v>
      </c>
      <c r="E23" s="8">
        <v>0.3</v>
      </c>
      <c r="F23" s="8">
        <v>0</v>
      </c>
      <c r="G23" s="8">
        <v>0</v>
      </c>
      <c r="H23" s="1"/>
      <c r="I23" s="12" t="str">
        <f t="shared" si="4"/>
        <v>K2O</v>
      </c>
      <c r="J23" s="17">
        <f>IF(D23=0,0,IF($D$36&lt;100,(IF(I23="Resto",D23+100-$D$36,D23)),IF($D$36&gt;100,D23-((D23*($D$36-100))/($D$36)),D23)))</f>
        <v>0.18</v>
      </c>
      <c r="K23" s="17">
        <f t="shared" si="1"/>
        <v>0.3</v>
      </c>
      <c r="L23" s="17">
        <f t="shared" si="2"/>
        <v>0</v>
      </c>
      <c r="M23" s="17">
        <f t="shared" si="3"/>
        <v>0</v>
      </c>
      <c r="O23" s="24" t="s">
        <v>37</v>
      </c>
      <c r="P23" s="25">
        <f>H8*L14-L13</f>
        <v>143.19999999999999</v>
      </c>
    </row>
    <row r="24" spans="3:16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O24" s="24" t="s">
        <v>38</v>
      </c>
      <c r="P24" s="25">
        <f>-H8*M14+M13</f>
        <v>-1.2</v>
      </c>
    </row>
    <row r="25" spans="3:16" x14ac:dyDescent="0.25">
      <c r="C25" s="1" t="s">
        <v>26</v>
      </c>
      <c r="D25" s="11">
        <f>SUM(D12:D23)</f>
        <v>100</v>
      </c>
      <c r="E25" s="11">
        <f>SUM(E12:E23)</f>
        <v>99.999999999999986</v>
      </c>
      <c r="F25" s="11">
        <f>SUM(F12:F23)</f>
        <v>99.999999999999986</v>
      </c>
      <c r="G25" s="11">
        <f>SUM(G12:G23)</f>
        <v>100</v>
      </c>
      <c r="H25" s="1"/>
      <c r="I25" s="1" t="str">
        <f>C25</f>
        <v>total</v>
      </c>
      <c r="J25" s="11">
        <f>SUM(J12:J23)</f>
        <v>100</v>
      </c>
      <c r="K25" s="11">
        <f>SUM(K12:K23)</f>
        <v>99.999999999999986</v>
      </c>
      <c r="L25" s="11">
        <f>SUM(L12:L23)</f>
        <v>99.999999999999986</v>
      </c>
      <c r="M25" s="11">
        <f>SUM(M12:M23)</f>
        <v>100</v>
      </c>
    </row>
    <row r="27" spans="3:16" x14ac:dyDescent="0.25">
      <c r="J27" s="15" t="s">
        <v>43</v>
      </c>
      <c r="K27" s="30">
        <f>IF(B2="EAGL",P27*P$30,ERROR)</f>
        <v>81.705306137446527</v>
      </c>
      <c r="L27" s="29">
        <f>K27/100</f>
        <v>0.81705306137446532</v>
      </c>
      <c r="M27" s="28" t="s">
        <v>42</v>
      </c>
      <c r="O27" s="27" t="s">
        <v>39</v>
      </c>
      <c r="P27" s="38">
        <f>(P14*(P17*P23-P22*P18)-P19*(P12*P23-P22*P13)+P24*(P12*P18-P17*P13))/(P11*(P17*P23-P22*P18)-P16*(P12*P23-P22*P13)+P21*(P12*P18-P17*P13))</f>
        <v>11.351835130010461</v>
      </c>
    </row>
    <row r="28" spans="3:16" ht="15" customHeight="1" x14ac:dyDescent="0.25">
      <c r="J28" s="15" t="s">
        <v>44</v>
      </c>
      <c r="K28" s="30">
        <f t="shared" ref="K28:K29" si="5">P28*P$30</f>
        <v>9.9921114060126062</v>
      </c>
      <c r="L28" s="29">
        <f t="shared" ref="L28:L30" si="6">K28/100</f>
        <v>9.9921114060126062E-2</v>
      </c>
      <c r="M28" s="28"/>
      <c r="O28" s="27" t="s">
        <v>40</v>
      </c>
      <c r="P28" s="38">
        <f>(P11*(P19*P23-P24*P18)-P16*(P14*P23-P24*P13)+P21*(P14*P18-P19*P13))/(P11*(P17*P23-P22*P18)-P16*(P12*P23-P22*P13)+P21*(P12*P18-P17*P13))</f>
        <v>1.3882672575871584</v>
      </c>
    </row>
    <row r="29" spans="3:16" ht="15" customHeight="1" x14ac:dyDescent="0.25">
      <c r="J29" s="15" t="s">
        <v>45</v>
      </c>
      <c r="K29" s="30">
        <f t="shared" si="5"/>
        <v>1.1050408078390563</v>
      </c>
      <c r="L29" s="29">
        <f t="shared" si="6"/>
        <v>1.1050408078390563E-2</v>
      </c>
      <c r="M29" s="28"/>
      <c r="O29" s="27" t="s">
        <v>41</v>
      </c>
      <c r="P29" s="38">
        <f>(P11*(P17*P24-P22*P19)-P16*(P12*P24-P22*P14)+P21*(P12*P19-P17*P14))/(P11*(P17*P23-P22*P18)-P16*(P12*P23-P22*P13)+P21*(P12*P18-P17*P13))</f>
        <v>0.15353031101089482</v>
      </c>
    </row>
    <row r="30" spans="3:16" x14ac:dyDescent="0.25">
      <c r="J30" s="15" t="s">
        <v>46</v>
      </c>
      <c r="K30" s="30">
        <f>P30</f>
        <v>7.1975416487018027</v>
      </c>
      <c r="L30" s="29">
        <f t="shared" si="6"/>
        <v>7.1975416487018024E-2</v>
      </c>
      <c r="O30" s="37" t="s">
        <v>47</v>
      </c>
      <c r="P30" s="39">
        <f>100/(SUM(P27:P29)+1)</f>
        <v>7.1975416487018027</v>
      </c>
    </row>
    <row r="31" spans="3:16" x14ac:dyDescent="0.25">
      <c r="K31" s="31">
        <f>SUM(K27:K30)</f>
        <v>100</v>
      </c>
      <c r="L31" s="31">
        <f>SUM(L27:L30)</f>
        <v>0.99999999999999989</v>
      </c>
    </row>
    <row r="34" spans="4:14" x14ac:dyDescent="0.25">
      <c r="I34" s="15" t="s">
        <v>10</v>
      </c>
      <c r="J34" s="15" t="s">
        <v>11</v>
      </c>
      <c r="K34" s="15" t="s">
        <v>12</v>
      </c>
      <c r="L34" s="15" t="s">
        <v>13</v>
      </c>
      <c r="M34" s="44" t="s">
        <v>48</v>
      </c>
      <c r="N34" s="44" t="s">
        <v>49</v>
      </c>
    </row>
    <row r="35" spans="4:14" x14ac:dyDescent="0.25">
      <c r="E35" s="16" t="s">
        <v>10</v>
      </c>
      <c r="F35" s="16" t="s">
        <v>11</v>
      </c>
      <c r="G35" s="16" t="s">
        <v>12</v>
      </c>
      <c r="H35" s="16" t="s">
        <v>13</v>
      </c>
      <c r="I35" s="43">
        <f>L27</f>
        <v>0.81705306137446532</v>
      </c>
      <c r="J35" s="43">
        <f>L28</f>
        <v>9.9921114060126062E-2</v>
      </c>
      <c r="K35" s="43">
        <f>L29</f>
        <v>1.1050408078390563E-2</v>
      </c>
      <c r="L35" s="43">
        <f>L30</f>
        <v>7.1975416487018024E-2</v>
      </c>
      <c r="M35" s="45"/>
      <c r="N35" s="45"/>
    </row>
    <row r="36" spans="4:14" x14ac:dyDescent="0.25">
      <c r="D36" s="26"/>
      <c r="E36" s="26">
        <f>J12</f>
        <v>3.76</v>
      </c>
      <c r="F36" s="26">
        <f t="shared" ref="F36:H36" si="7">K12</f>
        <v>52.3</v>
      </c>
      <c r="G36" s="26">
        <f t="shared" si="7"/>
        <v>10</v>
      </c>
      <c r="H36" s="26">
        <f t="shared" si="7"/>
        <v>99.2</v>
      </c>
      <c r="I36" s="40">
        <f>E36*I$35</f>
        <v>3.0721195107679895</v>
      </c>
      <c r="J36" s="40">
        <f>F36*J$35</f>
        <v>5.2258742653445927</v>
      </c>
      <c r="K36" s="40">
        <f>G36*K$35</f>
        <v>0.11050408078390563</v>
      </c>
      <c r="L36" s="40">
        <f>H36*L$35</f>
        <v>7.1399613155121884</v>
      </c>
      <c r="M36" s="41">
        <f>J36+I36+K36+L36</f>
        <v>15.548459172408677</v>
      </c>
      <c r="N36" s="42">
        <f>IF(D36&lt;&gt;"P.C.",M36+((M36*$M$42)/(100-$M$42)),0)</f>
        <v>23.68640696137982</v>
      </c>
    </row>
    <row r="37" spans="4:14" x14ac:dyDescent="0.25">
      <c r="D37" s="26"/>
      <c r="E37" s="26">
        <f t="shared" ref="E37:E44" si="8">J13</f>
        <v>1.1000000000000001</v>
      </c>
      <c r="F37" s="26">
        <f t="shared" ref="F37:F45" si="9">K13</f>
        <v>24.7</v>
      </c>
      <c r="G37" s="26">
        <f t="shared" ref="G37:G45" si="10">L13</f>
        <v>8</v>
      </c>
      <c r="H37" s="26">
        <f t="shared" ref="H37:H45" si="11">M13</f>
        <v>0</v>
      </c>
      <c r="I37" s="40">
        <f t="shared" ref="I37:I47" si="12">E37*I$35</f>
        <v>0.89875836751191196</v>
      </c>
      <c r="J37" s="40">
        <f t="shared" ref="J37:J47" si="13">F37*J$35</f>
        <v>2.4680515172851138</v>
      </c>
      <c r="K37" s="40">
        <f t="shared" ref="K37:K47" si="14">G37*K$35</f>
        <v>8.84032646271245E-2</v>
      </c>
      <c r="L37" s="40">
        <f t="shared" ref="L37:L47" si="15">H37*L$35</f>
        <v>0</v>
      </c>
      <c r="M37" s="41">
        <f t="shared" ref="M37:M47" si="16">J37+I37+K37+L37</f>
        <v>3.4552131494241505</v>
      </c>
      <c r="N37" s="42">
        <f>IF(D37&lt;&gt;"P.C.",M37+((M37*$M$42)/(100-$M$42)),0)</f>
        <v>5.2636459914177376</v>
      </c>
    </row>
    <row r="38" spans="4:14" x14ac:dyDescent="0.25">
      <c r="D38" s="26"/>
      <c r="E38" s="26">
        <f t="shared" si="8"/>
        <v>0.66</v>
      </c>
      <c r="F38" s="26">
        <f t="shared" si="9"/>
        <v>3.1</v>
      </c>
      <c r="G38" s="26">
        <f t="shared" si="10"/>
        <v>75.599999999999994</v>
      </c>
      <c r="H38" s="26">
        <f t="shared" si="11"/>
        <v>0.6</v>
      </c>
      <c r="I38" s="40">
        <f t="shared" si="12"/>
        <v>0.53925502050714713</v>
      </c>
      <c r="J38" s="40">
        <f t="shared" si="13"/>
        <v>0.30975545358639078</v>
      </c>
      <c r="K38" s="40">
        <f t="shared" si="14"/>
        <v>0.83541085072632648</v>
      </c>
      <c r="L38" s="40">
        <f t="shared" si="15"/>
        <v>4.3185249892210814E-2</v>
      </c>
      <c r="M38" s="41">
        <f t="shared" si="16"/>
        <v>1.727606574712075</v>
      </c>
      <c r="N38" s="42">
        <f>IF(D38&lt;&gt;"P.C.",M38+((M38*$M$42)/(100-$M$42)),0)</f>
        <v>2.6318229957088688</v>
      </c>
    </row>
    <row r="39" spans="4:14" x14ac:dyDescent="0.25">
      <c r="D39" s="26"/>
      <c r="E39" s="26">
        <f t="shared" si="8"/>
        <v>52.46</v>
      </c>
      <c r="F39" s="26">
        <f t="shared" si="9"/>
        <v>4.4000000000000004</v>
      </c>
      <c r="G39" s="26">
        <f t="shared" si="10"/>
        <v>0.8</v>
      </c>
      <c r="H39" s="26">
        <f t="shared" si="11"/>
        <v>0</v>
      </c>
      <c r="I39" s="40">
        <f t="shared" si="12"/>
        <v>42.86260359970445</v>
      </c>
      <c r="J39" s="40">
        <f t="shared" si="13"/>
        <v>0.43965290186455469</v>
      </c>
      <c r="K39" s="40">
        <f t="shared" si="14"/>
        <v>8.8403264627124507E-3</v>
      </c>
      <c r="L39" s="40">
        <f t="shared" si="15"/>
        <v>0</v>
      </c>
      <c r="M39" s="41">
        <f t="shared" si="16"/>
        <v>43.311096828031715</v>
      </c>
      <c r="N39" s="42">
        <f>IF(D39&lt;&gt;"P.C.",M39+((M39*$M$42)/(100-$M$42)),0)</f>
        <v>65.979802502421336</v>
      </c>
    </row>
    <row r="40" spans="4:14" x14ac:dyDescent="0.25">
      <c r="D40" s="26"/>
      <c r="E40" s="26">
        <f t="shared" si="8"/>
        <v>1.23</v>
      </c>
      <c r="F40" s="26">
        <f t="shared" si="9"/>
        <v>0.1</v>
      </c>
      <c r="G40" s="26">
        <f t="shared" si="10"/>
        <v>1.5</v>
      </c>
      <c r="H40" s="26">
        <f t="shared" si="11"/>
        <v>0</v>
      </c>
      <c r="I40" s="40">
        <f t="shared" si="12"/>
        <v>1.0049752654905924</v>
      </c>
      <c r="J40" s="40">
        <f t="shared" si="13"/>
        <v>9.9921114060126069E-3</v>
      </c>
      <c r="K40" s="40">
        <f t="shared" si="14"/>
        <v>1.6575612117585844E-2</v>
      </c>
      <c r="L40" s="40">
        <f t="shared" si="15"/>
        <v>0</v>
      </c>
      <c r="M40" s="41">
        <f t="shared" si="16"/>
        <v>1.0315429890141907</v>
      </c>
      <c r="N40" s="42">
        <f>IF(D40&lt;&gt;"P.C.",M40+((M40*$M$42)/(100-$M$42)),0)</f>
        <v>1.5714449107154307</v>
      </c>
    </row>
    <row r="41" spans="4:14" x14ac:dyDescent="0.25">
      <c r="D41" s="26"/>
      <c r="E41" s="26">
        <f t="shared" si="8"/>
        <v>0.01</v>
      </c>
      <c r="F41" s="26">
        <f t="shared" si="9"/>
        <v>1.1000000000000001</v>
      </c>
      <c r="G41" s="26">
        <f t="shared" si="10"/>
        <v>4</v>
      </c>
      <c r="H41" s="26">
        <f t="shared" si="11"/>
        <v>0</v>
      </c>
      <c r="I41" s="40">
        <f t="shared" si="12"/>
        <v>8.1705306137446528E-3</v>
      </c>
      <c r="J41" s="40">
        <f t="shared" si="13"/>
        <v>0.10991322546613867</v>
      </c>
      <c r="K41" s="40">
        <f t="shared" si="14"/>
        <v>4.420163231356225E-2</v>
      </c>
      <c r="L41" s="40">
        <f t="shared" si="15"/>
        <v>0</v>
      </c>
      <c r="M41" s="41">
        <f t="shared" si="16"/>
        <v>0.16228538839344558</v>
      </c>
      <c r="N41" s="42">
        <f>IF(D41&lt;&gt;"P.C.",M41+((M41*$M$42)/(100-$M$42)),0)</f>
        <v>0.2472243526351463</v>
      </c>
    </row>
    <row r="42" spans="4:14" x14ac:dyDescent="0.25">
      <c r="D42" s="26" t="s">
        <v>20</v>
      </c>
      <c r="E42" s="26">
        <f t="shared" si="8"/>
        <v>40.380000000000003</v>
      </c>
      <c r="F42" s="26">
        <f t="shared" si="9"/>
        <v>13.5</v>
      </c>
      <c r="G42" s="26">
        <f t="shared" si="10"/>
        <v>0.1</v>
      </c>
      <c r="H42" s="26">
        <f t="shared" si="11"/>
        <v>0.2</v>
      </c>
      <c r="I42" s="40">
        <f t="shared" si="12"/>
        <v>32.992602618300914</v>
      </c>
      <c r="J42" s="40">
        <f t="shared" si="13"/>
        <v>1.3489350398117019</v>
      </c>
      <c r="K42" s="40">
        <f t="shared" si="14"/>
        <v>1.1050408078390563E-3</v>
      </c>
      <c r="L42" s="40">
        <f t="shared" si="15"/>
        <v>1.4395083297403605E-2</v>
      </c>
      <c r="M42" s="41">
        <f t="shared" si="16"/>
        <v>34.357037782217851</v>
      </c>
      <c r="N42" s="42">
        <f>IF(D42&lt;&gt;"P.C.",M42+((M42*$M$42)/(100-$M$42)),0)</f>
        <v>0</v>
      </c>
    </row>
    <row r="43" spans="4:14" x14ac:dyDescent="0.25">
      <c r="D43" s="26"/>
      <c r="E43" s="26">
        <f t="shared" si="8"/>
        <v>0</v>
      </c>
      <c r="F43" s="26">
        <f t="shared" si="9"/>
        <v>0</v>
      </c>
      <c r="G43" s="26">
        <f t="shared" si="10"/>
        <v>0</v>
      </c>
      <c r="H43" s="26">
        <f t="shared" si="11"/>
        <v>0</v>
      </c>
      <c r="I43" s="40">
        <f t="shared" si="12"/>
        <v>0</v>
      </c>
      <c r="J43" s="40">
        <f t="shared" si="13"/>
        <v>0</v>
      </c>
      <c r="K43" s="40">
        <f t="shared" si="14"/>
        <v>0</v>
      </c>
      <c r="L43" s="40">
        <f t="shared" si="15"/>
        <v>0</v>
      </c>
      <c r="M43" s="41">
        <f t="shared" si="16"/>
        <v>0</v>
      </c>
      <c r="N43" s="42">
        <f>IF(D43&lt;&gt;"P.C.",M43+((M43*$M$42)/(100-$M$42)),0)</f>
        <v>0</v>
      </c>
    </row>
    <row r="44" spans="4:14" x14ac:dyDescent="0.25">
      <c r="D44" s="26"/>
      <c r="E44" s="26">
        <f t="shared" si="8"/>
        <v>0</v>
      </c>
      <c r="F44" s="26">
        <f t="shared" si="9"/>
        <v>0</v>
      </c>
      <c r="G44" s="26">
        <f t="shared" si="10"/>
        <v>0</v>
      </c>
      <c r="H44" s="26">
        <f t="shared" si="11"/>
        <v>0</v>
      </c>
      <c r="I44" s="40">
        <f t="shared" si="12"/>
        <v>0</v>
      </c>
      <c r="J44" s="40">
        <f t="shared" si="13"/>
        <v>0</v>
      </c>
      <c r="K44" s="40">
        <f t="shared" si="14"/>
        <v>0</v>
      </c>
      <c r="L44" s="40">
        <f t="shared" si="15"/>
        <v>0</v>
      </c>
      <c r="M44" s="41">
        <f t="shared" si="16"/>
        <v>0</v>
      </c>
      <c r="N44" s="42">
        <f>IF(D44&lt;&gt;"P.C.",M44+((M44*$M$42)/(100-$M$42)),0)</f>
        <v>0</v>
      </c>
    </row>
    <row r="45" spans="4:14" x14ac:dyDescent="0.25">
      <c r="D45" s="26"/>
      <c r="E45" s="26">
        <f>J21</f>
        <v>0</v>
      </c>
      <c r="F45" s="26">
        <f t="shared" si="9"/>
        <v>0</v>
      </c>
      <c r="G45" s="26">
        <f t="shared" si="10"/>
        <v>0</v>
      </c>
      <c r="H45" s="26">
        <f t="shared" si="11"/>
        <v>0</v>
      </c>
      <c r="I45" s="40">
        <f t="shared" si="12"/>
        <v>0</v>
      </c>
      <c r="J45" s="40">
        <f t="shared" si="13"/>
        <v>0</v>
      </c>
      <c r="K45" s="40">
        <f t="shared" si="14"/>
        <v>0</v>
      </c>
      <c r="L45" s="40">
        <f t="shared" si="15"/>
        <v>0</v>
      </c>
      <c r="M45" s="41">
        <f t="shared" si="16"/>
        <v>0</v>
      </c>
      <c r="N45" s="42">
        <f>IF(D45&lt;&gt;"P.C.",M45+((M45*$M$42)/(100-$M$42)),0)</f>
        <v>0</v>
      </c>
    </row>
    <row r="46" spans="4:14" x14ac:dyDescent="0.25">
      <c r="D46" s="26"/>
      <c r="E46" s="26">
        <f t="shared" ref="E46" si="17">J22</f>
        <v>0.22</v>
      </c>
      <c r="F46" s="26">
        <f t="shared" ref="F46:F47" si="18">K22</f>
        <v>0.5</v>
      </c>
      <c r="G46" s="26">
        <f t="shared" ref="G46:G47" si="19">L22</f>
        <v>0</v>
      </c>
      <c r="H46" s="26">
        <f t="shared" ref="H46:H47" si="20">M22</f>
        <v>0</v>
      </c>
      <c r="I46" s="40">
        <f t="shared" si="12"/>
        <v>0.17975167350238236</v>
      </c>
      <c r="J46" s="40">
        <f t="shared" si="13"/>
        <v>4.9960557030063031E-2</v>
      </c>
      <c r="K46" s="40">
        <f t="shared" si="14"/>
        <v>0</v>
      </c>
      <c r="L46" s="40">
        <f t="shared" si="15"/>
        <v>0</v>
      </c>
      <c r="M46" s="41">
        <f t="shared" si="16"/>
        <v>0.22971223053244538</v>
      </c>
      <c r="N46" s="42">
        <f>IF(D46&lt;&gt;"P.C.",M46+((M46*$M$42)/(100-$M$42)),0)</f>
        <v>0.34994190202802605</v>
      </c>
    </row>
    <row r="47" spans="4:14" x14ac:dyDescent="0.25">
      <c r="D47" s="26"/>
      <c r="E47" s="26">
        <f>J23</f>
        <v>0.18</v>
      </c>
      <c r="F47" s="26">
        <f t="shared" si="18"/>
        <v>0.3</v>
      </c>
      <c r="G47" s="26">
        <f t="shared" si="19"/>
        <v>0</v>
      </c>
      <c r="H47" s="26">
        <f t="shared" si="20"/>
        <v>0</v>
      </c>
      <c r="I47" s="40">
        <f t="shared" si="12"/>
        <v>0.14706955104740374</v>
      </c>
      <c r="J47" s="40">
        <f t="shared" si="13"/>
        <v>2.9976334218037817E-2</v>
      </c>
      <c r="K47" s="40">
        <f t="shared" si="14"/>
        <v>0</v>
      </c>
      <c r="L47" s="40">
        <f t="shared" si="15"/>
        <v>0</v>
      </c>
      <c r="M47" s="41">
        <f t="shared" si="16"/>
        <v>0.17704588526544157</v>
      </c>
      <c r="N47" s="42">
        <f>IF(D47&lt;&gt;"P.C.",M47+((M47*$M$42)/(100-$M$42)),0)</f>
        <v>0.2697103836936251</v>
      </c>
    </row>
    <row r="49" spans="4:15" x14ac:dyDescent="0.25">
      <c r="D49" s="1" t="s">
        <v>50</v>
      </c>
      <c r="E49" s="35">
        <f t="shared" ref="E49:N49" si="21">SUM(E36:E47)</f>
        <v>100</v>
      </c>
      <c r="F49" s="35">
        <f t="shared" si="21"/>
        <v>99.999999999999986</v>
      </c>
      <c r="G49" s="35">
        <f t="shared" si="21"/>
        <v>99.999999999999986</v>
      </c>
      <c r="H49" s="35">
        <f t="shared" si="21"/>
        <v>100</v>
      </c>
      <c r="I49" s="35">
        <f t="shared" si="21"/>
        <v>81.705306137446541</v>
      </c>
      <c r="J49" s="35">
        <f t="shared" si="21"/>
        <v>9.9921114060126062</v>
      </c>
      <c r="K49" s="35">
        <f t="shared" si="21"/>
        <v>1.1050408078390561</v>
      </c>
      <c r="L49" s="35">
        <f t="shared" si="21"/>
        <v>7.1975416487018036</v>
      </c>
      <c r="M49" s="35">
        <f t="shared" si="21"/>
        <v>99.999999999999972</v>
      </c>
      <c r="N49" s="35">
        <f t="shared" si="21"/>
        <v>99.999999999999972</v>
      </c>
    </row>
    <row r="50" spans="4:15" x14ac:dyDescent="0.25">
      <c r="D50" s="1"/>
      <c r="E50" s="1"/>
      <c r="F50" s="1"/>
      <c r="G50" s="1"/>
      <c r="I50" s="1"/>
      <c r="J50" s="1"/>
      <c r="K50" s="1"/>
      <c r="M50" s="1"/>
      <c r="N50" s="1"/>
      <c r="O50" s="1"/>
    </row>
    <row r="51" spans="4:15" x14ac:dyDescent="0.25">
      <c r="D51" s="2" t="s">
        <v>51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5"/>
    </row>
    <row r="52" spans="4:15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5"/>
    </row>
    <row r="53" spans="4:15" x14ac:dyDescent="0.25">
      <c r="D53" s="1" t="s">
        <v>52</v>
      </c>
      <c r="E53" s="32">
        <f t="shared" ref="E53:N53" si="22">E39/(E38+E37+E36)</f>
        <v>9.5036231884057987</v>
      </c>
      <c r="F53" s="32">
        <f t="shared" si="22"/>
        <v>5.4931335830212244E-2</v>
      </c>
      <c r="G53" s="32">
        <f t="shared" si="22"/>
        <v>8.5470085470085479E-3</v>
      </c>
      <c r="H53" s="32">
        <f t="shared" si="22"/>
        <v>0</v>
      </c>
      <c r="I53" s="32">
        <f t="shared" si="22"/>
        <v>9.5036231884057969</v>
      </c>
      <c r="J53" s="32">
        <f t="shared" si="22"/>
        <v>5.4931335830212237E-2</v>
      </c>
      <c r="K53" s="32">
        <f t="shared" si="22"/>
        <v>8.5470085470085479E-3</v>
      </c>
      <c r="L53" s="32">
        <f t="shared" si="22"/>
        <v>0</v>
      </c>
      <c r="M53" s="33">
        <f t="shared" si="22"/>
        <v>2.0891666666666664</v>
      </c>
      <c r="N53" s="36">
        <f t="shared" si="22"/>
        <v>2.0891666666666664</v>
      </c>
      <c r="O53" s="1" t="str">
        <f>D53</f>
        <v>MH</v>
      </c>
    </row>
    <row r="54" spans="4:15" x14ac:dyDescent="0.25">
      <c r="D54" s="1" t="s">
        <v>1</v>
      </c>
      <c r="E54" s="32">
        <f t="shared" ref="E54:N54" si="23">E36/(E37+E38)</f>
        <v>2.1363636363636358</v>
      </c>
      <c r="F54" s="32">
        <f t="shared" si="23"/>
        <v>1.8812949640287768</v>
      </c>
      <c r="G54" s="32">
        <f t="shared" si="23"/>
        <v>0.11961722488038279</v>
      </c>
      <c r="H54" s="32">
        <f t="shared" si="23"/>
        <v>165.33333333333334</v>
      </c>
      <c r="I54" s="32">
        <f t="shared" si="23"/>
        <v>2.1363636363636362</v>
      </c>
      <c r="J54" s="32">
        <f t="shared" si="23"/>
        <v>1.8812949640287768</v>
      </c>
      <c r="K54" s="32">
        <f t="shared" si="23"/>
        <v>0.11961722488038279</v>
      </c>
      <c r="L54" s="32">
        <f t="shared" si="23"/>
        <v>165.33333333333334</v>
      </c>
      <c r="M54" s="33">
        <f>M36/(M37+M38)</f>
        <v>3.0000000000000004</v>
      </c>
      <c r="N54" s="36">
        <f t="shared" si="23"/>
        <v>3</v>
      </c>
      <c r="O54" s="1" t="str">
        <f>D54</f>
        <v>SM</v>
      </c>
    </row>
    <row r="55" spans="4:15" x14ac:dyDescent="0.25">
      <c r="D55" s="1" t="s">
        <v>5</v>
      </c>
      <c r="E55" s="32">
        <f t="shared" ref="E55:N55" si="24">E37/E38</f>
        <v>1.6666666666666667</v>
      </c>
      <c r="F55" s="32">
        <f t="shared" si="24"/>
        <v>7.9677419354838701</v>
      </c>
      <c r="G55" s="32">
        <f t="shared" si="24"/>
        <v>0.10582010582010583</v>
      </c>
      <c r="H55" s="32">
        <f t="shared" si="24"/>
        <v>0</v>
      </c>
      <c r="I55" s="32">
        <f t="shared" si="24"/>
        <v>1.6666666666666667</v>
      </c>
      <c r="J55" s="32">
        <f t="shared" si="24"/>
        <v>7.9677419354838719</v>
      </c>
      <c r="K55" s="32">
        <f t="shared" si="24"/>
        <v>0.10582010582010583</v>
      </c>
      <c r="L55" s="32">
        <f t="shared" si="24"/>
        <v>0</v>
      </c>
      <c r="M55" s="33">
        <f>M37/M38</f>
        <v>2.0000000000000004</v>
      </c>
      <c r="N55" s="36">
        <f t="shared" si="24"/>
        <v>2</v>
      </c>
      <c r="O55" s="1" t="str">
        <f>D55</f>
        <v>TM</v>
      </c>
    </row>
    <row r="56" spans="4:15" x14ac:dyDescent="0.25">
      <c r="D56" s="1" t="s">
        <v>3</v>
      </c>
      <c r="E56" s="32">
        <f t="shared" ref="E56:N56" si="25">E36/E37</f>
        <v>3.4181818181818175</v>
      </c>
      <c r="F56" s="32">
        <f t="shared" si="25"/>
        <v>2.117408906882591</v>
      </c>
      <c r="G56" s="32">
        <f t="shared" si="25"/>
        <v>1.25</v>
      </c>
      <c r="H56" s="32" t="e">
        <f t="shared" si="25"/>
        <v>#DIV/0!</v>
      </c>
      <c r="I56" s="32">
        <f t="shared" si="25"/>
        <v>3.4181818181818175</v>
      </c>
      <c r="J56" s="32">
        <f t="shared" si="25"/>
        <v>2.117408906882591</v>
      </c>
      <c r="K56" s="32">
        <f t="shared" si="25"/>
        <v>1.25</v>
      </c>
      <c r="L56" s="32" t="e">
        <f t="shared" si="25"/>
        <v>#DIV/0!</v>
      </c>
      <c r="M56" s="33">
        <f>M36/M37</f>
        <v>4.5</v>
      </c>
      <c r="N56" s="36">
        <f t="shared" si="25"/>
        <v>4.5</v>
      </c>
      <c r="O56" s="1" t="str">
        <f>D56</f>
        <v>MS</v>
      </c>
    </row>
    <row r="58" spans="4:15" x14ac:dyDescent="0.25">
      <c r="D58" s="2" t="s">
        <v>53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"/>
    </row>
    <row r="59" spans="4:15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"/>
    </row>
    <row r="60" spans="4:15" x14ac:dyDescent="0.25">
      <c r="D60" s="1" t="s">
        <v>7</v>
      </c>
      <c r="E60" s="32">
        <f t="shared" ref="E60:N60" si="26">(E39-(1.65*E37+0.35*E38))/(2.8*E36)</f>
        <v>4.7885638297872344</v>
      </c>
      <c r="F60" s="32">
        <f t="shared" si="26"/>
        <v>-0.25566785031412187</v>
      </c>
      <c r="G60" s="32">
        <f t="shared" si="26"/>
        <v>-1.3878571428571429</v>
      </c>
      <c r="H60" s="32">
        <f t="shared" si="26"/>
        <v>-7.5604838709677417E-4</v>
      </c>
      <c r="I60" s="32">
        <f t="shared" si="26"/>
        <v>4.7885638297872353</v>
      </c>
      <c r="J60" s="32">
        <f t="shared" si="26"/>
        <v>-0.25566785031412181</v>
      </c>
      <c r="K60" s="32">
        <f t="shared" si="26"/>
        <v>-1.3878571428571431</v>
      </c>
      <c r="L60" s="32">
        <f t="shared" si="26"/>
        <v>-7.5604838709677417E-4</v>
      </c>
      <c r="M60" s="33">
        <f>(M39-(1.65*M37+0.35*M38))/(2.8*M36)</f>
        <v>0.84999999999999976</v>
      </c>
      <c r="N60" s="34">
        <f t="shared" si="26"/>
        <v>0.85</v>
      </c>
      <c r="O60" s="1" t="str">
        <f t="shared" ref="O60:O65" si="27">D60</f>
        <v>KSK</v>
      </c>
    </row>
    <row r="61" spans="4:15" x14ac:dyDescent="0.25">
      <c r="D61" s="1" t="s">
        <v>54</v>
      </c>
      <c r="E61" s="32">
        <f t="shared" ref="E61:N61" si="28">(E39)/(2.8*E36+1.65*E37+0.35*E38)</f>
        <v>4.1721011611261343</v>
      </c>
      <c r="F61" s="32">
        <f t="shared" si="28"/>
        <v>2.3369449755683031E-2</v>
      </c>
      <c r="G61" s="32">
        <f t="shared" si="28"/>
        <v>1.1823825007389892E-2</v>
      </c>
      <c r="H61" s="32">
        <f t="shared" si="28"/>
        <v>0</v>
      </c>
      <c r="I61" s="32">
        <f t="shared" si="28"/>
        <v>4.1721011611261343</v>
      </c>
      <c r="J61" s="32">
        <f t="shared" si="28"/>
        <v>2.3369449755683027E-2</v>
      </c>
      <c r="K61" s="32">
        <f t="shared" si="28"/>
        <v>1.1823825007389892E-2</v>
      </c>
      <c r="L61" s="32">
        <f t="shared" si="28"/>
        <v>0</v>
      </c>
      <c r="M61" s="33">
        <f t="shared" si="28"/>
        <v>0.86897746967071043</v>
      </c>
      <c r="N61" s="34">
        <f t="shared" si="28"/>
        <v>0.86897746967071055</v>
      </c>
      <c r="O61" s="32" t="str">
        <f t="shared" si="27"/>
        <v>KSG</v>
      </c>
    </row>
    <row r="62" spans="4:15" x14ac:dyDescent="0.25">
      <c r="D62" s="1" t="s">
        <v>55</v>
      </c>
      <c r="E62" s="32">
        <f t="shared" ref="E62:N62" si="29">(E39)/(2.8*E36+1.1*E37+0.7*E38)</f>
        <v>4.3000000000000007</v>
      </c>
      <c r="F62" s="32">
        <f t="shared" si="29"/>
        <v>2.5031289111389247E-2</v>
      </c>
      <c r="G62" s="32">
        <f t="shared" si="29"/>
        <v>8.9166295140436919E-3</v>
      </c>
      <c r="H62" s="32">
        <f t="shared" si="29"/>
        <v>0</v>
      </c>
      <c r="I62" s="32">
        <f t="shared" si="29"/>
        <v>4.3000000000000007</v>
      </c>
      <c r="J62" s="32">
        <f t="shared" si="29"/>
        <v>2.503128911138924E-2</v>
      </c>
      <c r="K62" s="32">
        <f t="shared" si="29"/>
        <v>8.9166295140436919E-3</v>
      </c>
      <c r="L62" s="32">
        <f t="shared" si="29"/>
        <v>0</v>
      </c>
      <c r="M62" s="33">
        <f t="shared" si="29"/>
        <v>0.89217081850533797</v>
      </c>
      <c r="N62" s="34">
        <f t="shared" si="29"/>
        <v>0.89217081850533808</v>
      </c>
      <c r="O62" s="32" t="str">
        <f t="shared" si="27"/>
        <v>KSt</v>
      </c>
    </row>
    <row r="63" spans="4:15" x14ac:dyDescent="0.25">
      <c r="D63" s="1" t="s">
        <v>56</v>
      </c>
      <c r="E63" s="32">
        <f t="shared" ref="E63:N63" si="30">(E39)/(2.8*E36+1.18*E37+0.65*E38)</f>
        <v>4.2807017543859649</v>
      </c>
      <c r="F63" s="32">
        <f t="shared" si="30"/>
        <v>2.4774635277954527E-2</v>
      </c>
      <c r="G63" s="32">
        <f t="shared" si="30"/>
        <v>9.2400092400092403E-3</v>
      </c>
      <c r="H63" s="32">
        <f t="shared" si="30"/>
        <v>0</v>
      </c>
      <c r="I63" s="32">
        <f t="shared" si="30"/>
        <v>4.2807017543859658</v>
      </c>
      <c r="J63" s="32">
        <f t="shared" si="30"/>
        <v>2.4774635277954524E-2</v>
      </c>
      <c r="K63" s="32">
        <f t="shared" si="30"/>
        <v>9.2400092400092421E-3</v>
      </c>
      <c r="L63" s="32">
        <f t="shared" si="30"/>
        <v>0</v>
      </c>
      <c r="M63" s="33">
        <f t="shared" si="30"/>
        <v>0.88869195320808203</v>
      </c>
      <c r="N63" s="34">
        <f t="shared" si="30"/>
        <v>0.88869195320808225</v>
      </c>
      <c r="O63" s="32" t="str">
        <f t="shared" si="27"/>
        <v>KSt I</v>
      </c>
    </row>
    <row r="64" spans="4:15" x14ac:dyDescent="0.25">
      <c r="D64" s="1" t="s">
        <v>57</v>
      </c>
      <c r="E64" s="32">
        <f t="shared" ref="E64:N64" si="31">((E39+0.75*E40))/(2.8*E36+1.18*E37+0.65*E38)</f>
        <v>4.355977152182783</v>
      </c>
      <c r="F64" s="32">
        <f t="shared" si="31"/>
        <v>2.5196930197465117E-2</v>
      </c>
      <c r="G64" s="32">
        <f t="shared" si="31"/>
        <v>2.2233772233772233E-2</v>
      </c>
      <c r="H64" s="32">
        <f t="shared" si="31"/>
        <v>0</v>
      </c>
      <c r="I64" s="32">
        <f t="shared" si="31"/>
        <v>4.355977152182783</v>
      </c>
      <c r="J64" s="32">
        <f t="shared" si="31"/>
        <v>2.5196930197465113E-2</v>
      </c>
      <c r="K64" s="32">
        <f t="shared" si="31"/>
        <v>2.2233772233772237E-2</v>
      </c>
      <c r="L64" s="32">
        <f t="shared" si="31"/>
        <v>0</v>
      </c>
      <c r="M64" s="33">
        <f t="shared" si="31"/>
        <v>0.90456647534322343</v>
      </c>
      <c r="N64" s="34">
        <f t="shared" si="31"/>
        <v>0.90456647534322376</v>
      </c>
      <c r="O64" s="32" t="str">
        <f t="shared" si="27"/>
        <v>KSt II</v>
      </c>
    </row>
    <row r="65" spans="4:15" x14ac:dyDescent="0.25">
      <c r="D65" s="1" t="s">
        <v>58</v>
      </c>
      <c r="E65" s="32">
        <f t="shared" ref="E65:N65" si="32">(E39-0.7*E41)/(2.8*E36+1.2*E37+0.65*E38)</f>
        <v>4.2724606988678024</v>
      </c>
      <c r="F65" s="32">
        <f t="shared" si="32"/>
        <v>2.0382380190347858E-2</v>
      </c>
      <c r="G65" s="32">
        <f t="shared" si="32"/>
        <v>-2.3057412958266077E-2</v>
      </c>
      <c r="H65" s="32">
        <f t="shared" si="32"/>
        <v>0</v>
      </c>
      <c r="I65" s="32">
        <f t="shared" si="32"/>
        <v>4.2724606988678024</v>
      </c>
      <c r="J65" s="32">
        <f t="shared" si="32"/>
        <v>2.0382380190347851E-2</v>
      </c>
      <c r="K65" s="32">
        <f t="shared" si="32"/>
        <v>-2.305741295826608E-2</v>
      </c>
      <c r="L65" s="32">
        <f t="shared" si="32"/>
        <v>0</v>
      </c>
      <c r="M65" s="33">
        <f t="shared" si="32"/>
        <v>0.88510599717749683</v>
      </c>
      <c r="N65" s="34">
        <f t="shared" si="32"/>
        <v>0.88510599717749694</v>
      </c>
      <c r="O65" s="32" t="str">
        <f t="shared" si="27"/>
        <v>LSF</v>
      </c>
    </row>
  </sheetData>
  <mergeCells count="14">
    <mergeCell ref="D51:N52"/>
    <mergeCell ref="D58:N59"/>
    <mergeCell ref="M34:M35"/>
    <mergeCell ref="N34:N35"/>
    <mergeCell ref="H16:H17"/>
    <mergeCell ref="N16:N17"/>
    <mergeCell ref="M27:M29"/>
    <mergeCell ref="D6:E6"/>
    <mergeCell ref="D7:E7"/>
    <mergeCell ref="D8:E8"/>
    <mergeCell ref="D9:E9"/>
    <mergeCell ref="F7:F8"/>
    <mergeCell ref="B3:J4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 Alexander Guapaya Lizana</dc:creator>
  <cp:lastModifiedBy>Ever Alexander Guapaya Lizana</cp:lastModifiedBy>
  <dcterms:created xsi:type="dcterms:W3CDTF">2019-01-03T20:25:08Z</dcterms:created>
  <dcterms:modified xsi:type="dcterms:W3CDTF">2019-01-03T23:25:48Z</dcterms:modified>
</cp:coreProperties>
</file>